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20115" windowHeight="7935"/>
  </bookViews>
  <sheets>
    <sheet name="MAT SECHES" sheetId="1" r:id="rId1"/>
    <sheet name="PDTS PHYTO" sheetId="2" r:id="rId2"/>
    <sheet name="CARBURANT" sheetId="3" r:id="rId3"/>
    <sheet name="VRAC" sheetId="4" r:id="rId4"/>
    <sheet name="BOUTEILLES" sheetId="5" r:id="rId5"/>
    <sheet name="VERRES" sheetId="7" r:id="rId6"/>
    <sheet name="BARRIQUES" sheetId="8" r:id="rId7"/>
  </sheets>
  <definedNames>
    <definedName name="_xlnm.Print_Area" localSheetId="4">BOUTEILLES!$A$1:$F$123</definedName>
    <definedName name="_xlnm.Print_Area" localSheetId="0">'MAT SECHES'!$A$1:$G$180</definedName>
    <definedName name="_xlnm.Print_Area" localSheetId="5">VERRES!$A$1:$E$9</definedName>
    <definedName name="_xlnm.Print_Area" localSheetId="3">VRAC!$A$1:$G$36</definedName>
  </definedNames>
  <calcPr calcId="145621"/>
</workbook>
</file>

<file path=xl/calcChain.xml><?xml version="1.0" encoding="utf-8"?>
<calcChain xmlns="http://schemas.openxmlformats.org/spreadsheetml/2006/main">
  <c r="C75" i="1" l="1"/>
  <c r="C57" i="1"/>
  <c r="C58" i="1"/>
  <c r="C76" i="1"/>
  <c r="C67" i="1"/>
  <c r="C66" i="1"/>
  <c r="B177" i="1" l="1"/>
  <c r="E8" i="7" l="1"/>
  <c r="J8" i="7"/>
  <c r="H7" i="7"/>
  <c r="J7" i="7" s="1"/>
  <c r="J6" i="7"/>
  <c r="J5" i="7"/>
  <c r="J4" i="7"/>
  <c r="E19" i="2"/>
  <c r="E174" i="1" l="1"/>
  <c r="E173" i="1"/>
  <c r="E172" i="1"/>
  <c r="E171" i="1"/>
  <c r="E165" i="1"/>
  <c r="E164" i="1"/>
  <c r="E163" i="1"/>
  <c r="E162" i="1"/>
  <c r="E161" i="1"/>
  <c r="E160" i="1"/>
  <c r="E159" i="1"/>
  <c r="E158" i="1"/>
  <c r="E157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36" i="1"/>
  <c r="E135" i="1"/>
  <c r="E134" i="1"/>
  <c r="E133" i="1"/>
  <c r="E132" i="1"/>
  <c r="D102" i="1"/>
  <c r="D105" i="1"/>
  <c r="D106" i="1"/>
  <c r="D109" i="1"/>
  <c r="D111" i="1"/>
  <c r="D114" i="1"/>
  <c r="D116" i="1"/>
  <c r="D71" i="1"/>
  <c r="D70" i="1"/>
  <c r="D69" i="1"/>
  <c r="D68" i="1"/>
  <c r="D67" i="1"/>
  <c r="D58" i="1"/>
  <c r="D57" i="1"/>
  <c r="D56" i="1"/>
  <c r="D55" i="1"/>
  <c r="D29" i="1" l="1"/>
  <c r="D9" i="1"/>
  <c r="C7" i="7" l="1"/>
  <c r="B113" i="1"/>
  <c r="B107" i="1"/>
  <c r="B88" i="1"/>
  <c r="D88" i="1" s="1"/>
  <c r="B72" i="1"/>
  <c r="D72" i="1" s="1"/>
  <c r="B75" i="1"/>
  <c r="D75" i="1" s="1"/>
  <c r="B74" i="1"/>
  <c r="B77" i="1"/>
  <c r="B73" i="1"/>
  <c r="B66" i="1"/>
  <c r="D66" i="1" s="1"/>
  <c r="B63" i="1"/>
  <c r="B60" i="1"/>
  <c r="B59" i="1"/>
  <c r="D59" i="1" s="1"/>
  <c r="B54" i="1"/>
  <c r="D87" i="1"/>
  <c r="B46" i="1"/>
  <c r="B43" i="1"/>
  <c r="B41" i="1"/>
  <c r="B38" i="1"/>
  <c r="B37" i="1"/>
  <c r="B35" i="1"/>
  <c r="B34" i="1"/>
  <c r="B29" i="1"/>
  <c r="B24" i="1"/>
  <c r="B22" i="1"/>
  <c r="B19" i="1"/>
  <c r="B6" i="1"/>
  <c r="B5" i="1"/>
  <c r="B4" i="1"/>
  <c r="C5" i="4"/>
  <c r="D138" i="5"/>
  <c r="D137" i="5"/>
  <c r="D141" i="5"/>
  <c r="D140" i="5"/>
  <c r="D128" i="5"/>
  <c r="D119" i="5"/>
  <c r="D132" i="5"/>
  <c r="D126" i="5"/>
  <c r="D125" i="5"/>
  <c r="D127" i="5"/>
  <c r="D129" i="5"/>
  <c r="D117" i="5"/>
  <c r="D116" i="5"/>
  <c r="D115" i="5"/>
  <c r="D113" i="5"/>
  <c r="D108" i="5"/>
  <c r="D110" i="5"/>
  <c r="D109" i="5"/>
  <c r="D111" i="5"/>
  <c r="D112" i="5"/>
  <c r="D100" i="5"/>
  <c r="D105" i="5"/>
  <c r="D102" i="5"/>
  <c r="D95" i="5"/>
  <c r="D97" i="5"/>
  <c r="D96" i="5"/>
  <c r="D98" i="5"/>
  <c r="D99" i="5"/>
  <c r="D89" i="5"/>
  <c r="D90" i="5"/>
  <c r="D87" i="5"/>
  <c r="D88" i="5"/>
  <c r="D79" i="5"/>
  <c r="D78" i="5"/>
  <c r="D76" i="5"/>
  <c r="D77" i="5"/>
  <c r="D75" i="5"/>
  <c r="D73" i="5"/>
  <c r="D80" i="5"/>
  <c r="D74" i="5"/>
  <c r="D81" i="5"/>
  <c r="D62" i="5"/>
  <c r="D64" i="5"/>
  <c r="D66" i="5"/>
  <c r="D55" i="5"/>
  <c r="D54" i="5"/>
  <c r="D53" i="5"/>
  <c r="D52" i="5"/>
  <c r="D50" i="5"/>
  <c r="D47" i="5"/>
  <c r="D46" i="5"/>
  <c r="D43" i="5"/>
  <c r="D41" i="5"/>
  <c r="D39" i="5"/>
  <c r="D37" i="5"/>
  <c r="D35" i="5"/>
  <c r="D34" i="5"/>
  <c r="D31" i="5"/>
  <c r="D30" i="5"/>
  <c r="D27" i="5"/>
  <c r="D26" i="5"/>
  <c r="D23" i="5"/>
  <c r="D21" i="5"/>
  <c r="D18" i="5"/>
  <c r="D17" i="5"/>
  <c r="D10" i="5"/>
  <c r="D9" i="5"/>
  <c r="D7" i="5"/>
  <c r="D6" i="5"/>
  <c r="D5" i="5"/>
  <c r="D4" i="5"/>
  <c r="D37" i="1" l="1"/>
  <c r="D38" i="1"/>
  <c r="D30" i="1"/>
  <c r="F12" i="4" l="1"/>
  <c r="F119" i="5" l="1"/>
  <c r="F116" i="5"/>
  <c r="F115" i="5"/>
  <c r="F113" i="5"/>
  <c r="F112" i="5"/>
  <c r="F111" i="5"/>
  <c r="F110" i="5"/>
  <c r="F109" i="5"/>
  <c r="F108" i="5"/>
  <c r="F105" i="5"/>
  <c r="F102" i="5"/>
  <c r="F100" i="5"/>
  <c r="F99" i="5"/>
  <c r="F98" i="5"/>
  <c r="F97" i="5"/>
  <c r="F96" i="5"/>
  <c r="F95" i="5"/>
  <c r="F90" i="5"/>
  <c r="F89" i="5"/>
  <c r="F88" i="5"/>
  <c r="F87" i="5"/>
  <c r="F81" i="5"/>
  <c r="F80" i="5"/>
  <c r="F77" i="5"/>
  <c r="F76" i="5"/>
  <c r="F75" i="5"/>
  <c r="F74" i="5"/>
  <c r="F73" i="5"/>
  <c r="F62" i="5"/>
  <c r="F67" i="5"/>
  <c r="F66" i="5"/>
  <c r="F65" i="5"/>
  <c r="F64" i="5"/>
  <c r="F58" i="5"/>
  <c r="F53" i="5"/>
  <c r="F52" i="5"/>
  <c r="F50" i="5"/>
  <c r="F47" i="5"/>
  <c r="F43" i="5"/>
  <c r="F41" i="5"/>
  <c r="F39" i="5"/>
  <c r="F37" i="5"/>
  <c r="F35" i="5"/>
  <c r="F34" i="5"/>
  <c r="F31" i="5"/>
  <c r="F27" i="5"/>
  <c r="F21" i="5"/>
  <c r="F17" i="5"/>
  <c r="F13" i="5"/>
  <c r="F12" i="5"/>
  <c r="F10" i="5"/>
  <c r="F9" i="5"/>
  <c r="F6" i="5"/>
  <c r="F5" i="5"/>
  <c r="F4" i="5"/>
  <c r="N28" i="8"/>
  <c r="D28" i="8"/>
  <c r="E28" i="8"/>
  <c r="F28" i="8"/>
  <c r="G28" i="8"/>
  <c r="H28" i="8"/>
  <c r="I28" i="8"/>
  <c r="J28" i="8"/>
  <c r="K28" i="8"/>
  <c r="L28" i="8"/>
  <c r="M28" i="8"/>
  <c r="C28" i="8"/>
  <c r="F123" i="5" l="1"/>
  <c r="F18" i="8"/>
  <c r="F21" i="8"/>
  <c r="F23" i="8"/>
  <c r="J25" i="8"/>
  <c r="J27" i="8"/>
  <c r="G25" i="8"/>
  <c r="H27" i="8"/>
  <c r="H25" i="8"/>
  <c r="L21" i="8"/>
  <c r="I27" i="8"/>
  <c r="L23" i="8"/>
  <c r="I23" i="8"/>
  <c r="I26" i="8"/>
  <c r="E26" i="8"/>
  <c r="F25" i="8"/>
  <c r="E17" i="8"/>
  <c r="E21" i="8"/>
  <c r="K19" i="8"/>
  <c r="K20" i="8"/>
  <c r="H23" i="8"/>
  <c r="K21" i="8"/>
  <c r="K23" i="8"/>
  <c r="M25" i="8"/>
  <c r="M27" i="8"/>
  <c r="L27" i="8"/>
  <c r="L25" i="8"/>
  <c r="L26" i="8"/>
  <c r="I25" i="8"/>
  <c r="K26" i="8"/>
  <c r="K25" i="8"/>
  <c r="K27" i="8"/>
  <c r="E23" i="8"/>
  <c r="D83" i="1"/>
  <c r="D16" i="1"/>
  <c r="D15" i="1"/>
  <c r="E120" i="5" l="1"/>
  <c r="E122" i="5"/>
  <c r="E119" i="5"/>
  <c r="E115" i="5"/>
  <c r="E113" i="5"/>
  <c r="E112" i="5"/>
  <c r="E111" i="5"/>
  <c r="E110" i="5"/>
  <c r="E109" i="5"/>
  <c r="E108" i="5"/>
  <c r="E105" i="5"/>
  <c r="E102" i="5"/>
  <c r="E100" i="5"/>
  <c r="E99" i="5"/>
  <c r="E98" i="5"/>
  <c r="E96" i="5"/>
  <c r="E97" i="5"/>
  <c r="E95" i="5"/>
  <c r="E90" i="5"/>
  <c r="E89" i="5"/>
  <c r="E88" i="5"/>
  <c r="E87" i="5"/>
  <c r="E81" i="5"/>
  <c r="E80" i="5"/>
  <c r="E77" i="5"/>
  <c r="E75" i="5"/>
  <c r="E74" i="5"/>
  <c r="E73" i="5"/>
  <c r="E67" i="5"/>
  <c r="E65" i="5" l="1"/>
  <c r="E64" i="5"/>
  <c r="E60" i="5"/>
  <c r="E55" i="5"/>
  <c r="E54" i="5"/>
  <c r="E53" i="5"/>
  <c r="E58" i="5"/>
  <c r="E66" i="5"/>
  <c r="E52" i="5"/>
  <c r="E50" i="5"/>
  <c r="E47" i="5"/>
  <c r="E43" i="5"/>
  <c r="E41" i="5"/>
  <c r="E37" i="5"/>
  <c r="E30" i="5"/>
  <c r="E5" i="5"/>
  <c r="E4" i="5"/>
  <c r="J18" i="4"/>
  <c r="D113" i="1" l="1"/>
  <c r="F6" i="4"/>
  <c r="E46" i="5"/>
  <c r="E39" i="5"/>
  <c r="E35" i="5"/>
  <c r="E34" i="5"/>
  <c r="E31" i="5"/>
  <c r="E27" i="5"/>
  <c r="E26" i="5"/>
  <c r="E23" i="5"/>
  <c r="E21" i="5"/>
  <c r="E18" i="5"/>
  <c r="E17" i="5"/>
  <c r="E10" i="5"/>
  <c r="E9" i="5"/>
  <c r="E7" i="5"/>
  <c r="E6" i="5"/>
  <c r="E123" i="5" l="1"/>
  <c r="E5" i="7"/>
  <c r="E6" i="7"/>
  <c r="E7" i="7"/>
  <c r="E4" i="7"/>
  <c r="E6" i="3"/>
  <c r="E5" i="3"/>
  <c r="E4" i="3"/>
  <c r="C104" i="1"/>
  <c r="D104" i="1" s="1"/>
  <c r="D85" i="1"/>
  <c r="D80" i="1"/>
  <c r="D4" i="1"/>
  <c r="E170" i="1"/>
  <c r="E169" i="1"/>
  <c r="E168" i="1"/>
  <c r="E167" i="1"/>
  <c r="E166" i="1"/>
  <c r="E156" i="1"/>
  <c r="E155" i="1"/>
  <c r="E142" i="1"/>
  <c r="E141" i="1"/>
  <c r="E140" i="1"/>
  <c r="E139" i="1"/>
  <c r="E138" i="1"/>
  <c r="E137" i="1"/>
  <c r="E131" i="1"/>
  <c r="E130" i="1"/>
  <c r="E129" i="1"/>
  <c r="E128" i="1"/>
  <c r="E127" i="1"/>
  <c r="D124" i="1"/>
  <c r="D123" i="1"/>
  <c r="D122" i="1"/>
  <c r="D121" i="1"/>
  <c r="D120" i="1"/>
  <c r="D119" i="1"/>
  <c r="D115" i="1"/>
  <c r="D101" i="1"/>
  <c r="D103" i="1"/>
  <c r="D108" i="1"/>
  <c r="D110" i="1"/>
  <c r="D112" i="1"/>
  <c r="D107" i="1"/>
  <c r="D97" i="1"/>
  <c r="D96" i="1"/>
  <c r="D95" i="1"/>
  <c r="D94" i="1"/>
  <c r="D93" i="1"/>
  <c r="D77" i="1"/>
  <c r="D84" i="1"/>
  <c r="D82" i="1"/>
  <c r="D74" i="1"/>
  <c r="D76" i="1"/>
  <c r="D73" i="1"/>
  <c r="D65" i="1"/>
  <c r="D64" i="1"/>
  <c r="D81" i="1"/>
  <c r="D79" i="1"/>
  <c r="D78" i="1"/>
  <c r="D63" i="1"/>
  <c r="D62" i="1"/>
  <c r="D61" i="1"/>
  <c r="D60" i="1"/>
  <c r="D54" i="1"/>
  <c r="D51" i="1"/>
  <c r="D50" i="1"/>
  <c r="D44" i="1"/>
  <c r="D46" i="1"/>
  <c r="D43" i="1"/>
  <c r="D42" i="1"/>
  <c r="D41" i="1"/>
  <c r="D36" i="1"/>
  <c r="D35" i="1"/>
  <c r="D34" i="1"/>
  <c r="D33" i="1"/>
  <c r="D32" i="1"/>
  <c r="D28" i="1"/>
  <c r="D25" i="1"/>
  <c r="D24" i="1"/>
  <c r="D23" i="1"/>
  <c r="D22" i="1"/>
  <c r="D21" i="1"/>
  <c r="D20" i="1"/>
  <c r="D19" i="1"/>
  <c r="D14" i="1"/>
  <c r="D13" i="1"/>
  <c r="D12" i="1"/>
  <c r="D11" i="1"/>
  <c r="D10" i="1"/>
  <c r="D8" i="1"/>
  <c r="D7" i="1"/>
  <c r="D5" i="1"/>
  <c r="F7" i="3" l="1"/>
  <c r="G169" i="1"/>
  <c r="G115" i="1"/>
  <c r="G46" i="1"/>
  <c r="G36" i="1"/>
  <c r="G25" i="1"/>
  <c r="G14" i="1"/>
  <c r="E9" i="7"/>
  <c r="D86" i="1"/>
  <c r="D89" i="1" l="1"/>
  <c r="D4" i="2"/>
  <c r="D5" i="2"/>
  <c r="D6" i="2"/>
  <c r="D7" i="2"/>
  <c r="D8" i="2"/>
  <c r="D9" i="2"/>
  <c r="D10" i="2"/>
  <c r="D11" i="2"/>
  <c r="D12" i="2"/>
  <c r="D13" i="2"/>
  <c r="D14" i="2"/>
  <c r="D15" i="2"/>
  <c r="D17" i="2"/>
  <c r="D18" i="2"/>
  <c r="D90" i="1" l="1"/>
  <c r="D91" i="1" l="1"/>
  <c r="D92" i="1"/>
  <c r="K12" i="4" l="1"/>
  <c r="K13" i="4"/>
  <c r="K14" i="4"/>
  <c r="K15" i="4"/>
  <c r="L18" i="4" l="1"/>
  <c r="F18" i="4" l="1"/>
  <c r="F29" i="4" l="1"/>
  <c r="F24" i="4"/>
  <c r="G124" i="1"/>
  <c r="G51" i="1"/>
  <c r="G97" i="1" l="1"/>
  <c r="B176" i="1" s="1"/>
  <c r="B178" i="1" s="1"/>
</calcChain>
</file>

<file path=xl/comments1.xml><?xml version="1.0" encoding="utf-8"?>
<comments xmlns="http://schemas.openxmlformats.org/spreadsheetml/2006/main">
  <authors>
    <author>Stéphane MIGNONAT</author>
  </authors>
  <commentList>
    <comment ref="C21" authorId="0">
      <text>
        <r>
          <rPr>
            <b/>
            <sz val="9"/>
            <color indexed="81"/>
            <rFont val="Tahoma"/>
            <family val="2"/>
          </rPr>
          <t>Stéphane MIGNONAT:</t>
        </r>
        <r>
          <rPr>
            <sz val="9"/>
            <color indexed="81"/>
            <rFont val="Tahoma"/>
            <family val="2"/>
          </rPr>
          <t xml:space="preserve">
ATTENTION AU PRIX NOUVELLE REFERENCE RECUE EN DECEMBRE</t>
        </r>
      </text>
    </comment>
  </commentList>
</comments>
</file>

<file path=xl/comments2.xml><?xml version="1.0" encoding="utf-8"?>
<comments xmlns="http://schemas.openxmlformats.org/spreadsheetml/2006/main">
  <authors>
    <author>ROULIER</author>
  </authors>
  <commentList>
    <comment ref="F66" authorId="0">
      <text>
        <r>
          <rPr>
            <b/>
            <sz val="9"/>
            <color indexed="81"/>
            <rFont val="Tahoma"/>
            <family val="2"/>
          </rPr>
          <t>ROULIER:</t>
        </r>
        <r>
          <rPr>
            <sz val="9"/>
            <color indexed="81"/>
            <rFont val="Tahoma"/>
            <family val="2"/>
          </rPr>
          <t xml:space="preserve">
DONT 300 EN ARCHIVES
</t>
        </r>
      </text>
    </comment>
  </commentList>
</comments>
</file>

<file path=xl/comments3.xml><?xml version="1.0" encoding="utf-8"?>
<comments xmlns="http://schemas.openxmlformats.org/spreadsheetml/2006/main">
  <authors>
    <author>ROULIER</author>
  </authors>
  <commentList>
    <comment ref="M25" authorId="0">
      <text>
        <r>
          <rPr>
            <b/>
            <sz val="9"/>
            <color indexed="81"/>
            <rFont val="Tahoma"/>
            <family val="2"/>
          </rPr>
          <t>ROULIER:</t>
        </r>
        <r>
          <rPr>
            <sz val="9"/>
            <color indexed="81"/>
            <rFont val="Tahoma"/>
            <family val="2"/>
          </rPr>
          <t xml:space="preserve">
2 DOUELLES 47MM / 3 DOUELLES 42 MM</t>
        </r>
      </text>
    </comment>
  </commentList>
</comments>
</file>

<file path=xl/sharedStrings.xml><?xml version="1.0" encoding="utf-8"?>
<sst xmlns="http://schemas.openxmlformats.org/spreadsheetml/2006/main" count="591" uniqueCount="464">
  <si>
    <t>STOCK PHYSIQUE MATIERES SECHES</t>
  </si>
  <si>
    <t>Cartons</t>
  </si>
  <si>
    <t>PU</t>
  </si>
  <si>
    <t>VALORISATION</t>
  </si>
  <si>
    <t>Cartons blanc x6 MAG</t>
  </si>
  <si>
    <t>Carton x1</t>
  </si>
  <si>
    <t>Valisettes x2</t>
  </si>
  <si>
    <t>TOTAL</t>
  </si>
  <si>
    <t>Valisettes x3</t>
  </si>
  <si>
    <t>Caisses bois</t>
  </si>
  <si>
    <t xml:space="preserve">Caisse x2 </t>
  </si>
  <si>
    <t>Caisse x3</t>
  </si>
  <si>
    <t>Caisse 2 x magnum</t>
  </si>
  <si>
    <t>Valisette x3 loupe d'orme</t>
  </si>
  <si>
    <t>Caisse 1 magnum</t>
  </si>
  <si>
    <t>Caisse double Mag</t>
  </si>
  <si>
    <t xml:space="preserve">Bouteilles 75 cL </t>
  </si>
  <si>
    <t>VERT GRAND VINS</t>
  </si>
  <si>
    <t>VERT EVOLUTION</t>
  </si>
  <si>
    <t>BLANC EVOLUTION</t>
  </si>
  <si>
    <t>MAG BLANC</t>
  </si>
  <si>
    <t>Capsules CRD</t>
  </si>
  <si>
    <t>ROLLTOP Gris 75 cL</t>
  </si>
  <si>
    <t>ROLLTOP Argent 75 cL</t>
  </si>
  <si>
    <t>ETAIN Gris 150 cL -SOFTGARD</t>
  </si>
  <si>
    <t>Palettes</t>
  </si>
  <si>
    <t>Europe</t>
  </si>
  <si>
    <t>VMF</t>
  </si>
  <si>
    <t>Etiquettes + contre-étiquettes</t>
  </si>
  <si>
    <t>ADB NEUTRE</t>
  </si>
  <si>
    <t>PASSE BLANC</t>
  </si>
  <si>
    <t>CODE BARRE PETIT</t>
  </si>
  <si>
    <t>CODE BARRE GRAND</t>
  </si>
  <si>
    <t>Médailles</t>
  </si>
  <si>
    <t>Gaz</t>
  </si>
  <si>
    <t>Divers</t>
  </si>
  <si>
    <t>Film étirable MAIN</t>
  </si>
  <si>
    <t>Film étirable MACHINE</t>
  </si>
  <si>
    <t>SO2 – P18 (en kg)</t>
  </si>
  <si>
    <t>Spraygrap</t>
  </si>
  <si>
    <t>multigrap</t>
  </si>
  <si>
    <t>omégrap</t>
  </si>
  <si>
    <t>bouteilles gaz de carburation</t>
  </si>
  <si>
    <t>Oxygrap</t>
  </si>
  <si>
    <t>ENCRE NOIRE</t>
  </si>
  <si>
    <t>ENCRE ROUGE</t>
  </si>
  <si>
    <t>SEL ADOUCISSEUR</t>
  </si>
  <si>
    <t>TOTAL GENERAL :</t>
  </si>
  <si>
    <t>QTES</t>
  </si>
  <si>
    <t>PDTS PHYTO</t>
  </si>
  <si>
    <t>TOTAUX</t>
  </si>
  <si>
    <t>CARBURANTS</t>
  </si>
  <si>
    <t>FIOUL CHÂTEAU</t>
  </si>
  <si>
    <t>FIOUL TRACTEURS</t>
  </si>
  <si>
    <t>GAZ OIL</t>
  </si>
  <si>
    <t>Millésime</t>
  </si>
  <si>
    <t>Qualité</t>
  </si>
  <si>
    <t>Volume (hL)</t>
  </si>
  <si>
    <t>AOC BLANC</t>
  </si>
  <si>
    <t>AOC ROSE</t>
  </si>
  <si>
    <t>AOC ROUGE</t>
  </si>
  <si>
    <t>VDT ROUGE</t>
  </si>
  <si>
    <t>AOC blanc</t>
  </si>
  <si>
    <t>AOC rosé</t>
  </si>
  <si>
    <t>VDT rouge</t>
  </si>
  <si>
    <t>AOC</t>
  </si>
  <si>
    <t>lies</t>
  </si>
  <si>
    <t>ANNEE</t>
  </si>
  <si>
    <t>ARTICLE</t>
  </si>
  <si>
    <t>DENOMINATION</t>
  </si>
  <si>
    <t>LGR820750CR</t>
  </si>
  <si>
    <t>LA GRANDE ROMPUE 1982 7</t>
  </si>
  <si>
    <t>SDC820750CR</t>
  </si>
  <si>
    <t>SIMONE DESCAMPS 1982 7</t>
  </si>
  <si>
    <t>CHT840750CR</t>
  </si>
  <si>
    <t>CHATELLENIE 1984 75cl CR</t>
  </si>
  <si>
    <t>LGR840750CR</t>
  </si>
  <si>
    <t>LA GRANDE ROMPUE 1984 7</t>
  </si>
  <si>
    <t>LGR850750CR</t>
  </si>
  <si>
    <t>LA GRANDE ROMPUE 1985 7</t>
  </si>
  <si>
    <t>SDC850750CR</t>
  </si>
  <si>
    <t>SIMONE DESCAMPS 1985 7</t>
  </si>
  <si>
    <t>LGR860750CR</t>
  </si>
  <si>
    <t>LA GRANDE ROMPUE 1986 7</t>
  </si>
  <si>
    <t>LST860750CR</t>
  </si>
  <si>
    <t>RESERVE 1986 75 cl CRD</t>
  </si>
  <si>
    <t>SDC860750CR</t>
  </si>
  <si>
    <t>SIMONE DESCAMPS 1986 7</t>
  </si>
  <si>
    <t>LGR880750CR</t>
  </si>
  <si>
    <t>LA GRANDE ROMPUE 1988 7</t>
  </si>
  <si>
    <t>SDC880750CR</t>
  </si>
  <si>
    <t>SIMONE DESCAMPS 1988 7</t>
  </si>
  <si>
    <t>LGR890750CR</t>
  </si>
  <si>
    <t>LA GRANDE ROMPUE 1989 7</t>
  </si>
  <si>
    <t>LST900750CR</t>
  </si>
  <si>
    <t>RESERVE 1990 75 cl CRD</t>
  </si>
  <si>
    <t>LGR910750CR</t>
  </si>
  <si>
    <t>LA GRANDE ROMPUE 1991 7</t>
  </si>
  <si>
    <t>LGR930750CR</t>
  </si>
  <si>
    <t>LA GRANDE ROMPUE 1993 7</t>
  </si>
  <si>
    <t>LST930750CR</t>
  </si>
  <si>
    <t>RESERVE 1993 75 cl CRD</t>
  </si>
  <si>
    <t>LGR940750CR</t>
  </si>
  <si>
    <t>LA GRANDE ROMPUE 1994 7</t>
  </si>
  <si>
    <t>LST940750CR</t>
  </si>
  <si>
    <t>RESERVE 1994 75 cl CRD</t>
  </si>
  <si>
    <t>SDC940750CR</t>
  </si>
  <si>
    <t>SIMONE DESCAMPS 1994 7</t>
  </si>
  <si>
    <t>LST950750CR</t>
  </si>
  <si>
    <t>RESERVE 1995 75 cl CRD</t>
  </si>
  <si>
    <t>SDC950750CR</t>
  </si>
  <si>
    <t>SIMONE DESCAMPS 1995 7</t>
  </si>
  <si>
    <t>LGR960750CR</t>
  </si>
  <si>
    <t>LA GRANDE ROMPUE 1996 7</t>
  </si>
  <si>
    <t>LGR980750CR</t>
  </si>
  <si>
    <t>LST980750CC</t>
  </si>
  <si>
    <t>RESERVE 1998 75 cl CC</t>
  </si>
  <si>
    <t>SDC980750CR</t>
  </si>
  <si>
    <t>SIMONE DESCAMPS 1998 7</t>
  </si>
  <si>
    <t>LST990750CR</t>
  </si>
  <si>
    <t>RESERVE 1999 75 cl CRD</t>
  </si>
  <si>
    <t>SDC000750CR</t>
  </si>
  <si>
    <t>SIMONE DESCAMPS 2000 7</t>
  </si>
  <si>
    <t>LST010750CC</t>
  </si>
  <si>
    <t>RESERVE 2001 75 cl CC</t>
  </si>
  <si>
    <t>SDC010750CR</t>
  </si>
  <si>
    <t>SIMONE DESCAMPS 2001 7</t>
  </si>
  <si>
    <t>LST030750CR</t>
  </si>
  <si>
    <t>RESERVE 2003 75 cl CRD</t>
  </si>
  <si>
    <t>SDC030750CR</t>
  </si>
  <si>
    <t>SIMONE DESCAMPS 2003 7</t>
  </si>
  <si>
    <t>LST040750CR</t>
  </si>
  <si>
    <t>RESERVE 2004 75 cl CRD</t>
  </si>
  <si>
    <t>LST041500MAG</t>
  </si>
  <si>
    <t>RESERVE 2004 magnum CRD</t>
  </si>
  <si>
    <t>SDC040750CR</t>
  </si>
  <si>
    <t>SIMONE DESCAMPS 2004 75 cl CRD</t>
  </si>
  <si>
    <t>LST050750cr</t>
  </si>
  <si>
    <t>RESERVE 2005 75 cl crd</t>
  </si>
  <si>
    <t>RESERVE 2005 MAGNUM CRD</t>
  </si>
  <si>
    <t>SDC050750CRD</t>
  </si>
  <si>
    <t>SIMONE DESCAMPS 2005 75 cl CRD</t>
  </si>
  <si>
    <t>ADB060750CRD</t>
  </si>
  <si>
    <t>ADB 2006 75 CL CRD</t>
  </si>
  <si>
    <t>SDC060750CR</t>
  </si>
  <si>
    <t>SIMONE 2006 75 CL CRD</t>
  </si>
  <si>
    <t>LST060750CRD</t>
  </si>
  <si>
    <t>RESERVE 06 75 CL CRD</t>
  </si>
  <si>
    <t>LST061500CRD</t>
  </si>
  <si>
    <t>RESERVE 06 MAGNUM CRD</t>
  </si>
  <si>
    <t>SIMONE 2007 MAGNUM CRD</t>
  </si>
  <si>
    <t>SDC070750CRD</t>
  </si>
  <si>
    <t>SIMONE 2007 75 CL CRD</t>
  </si>
  <si>
    <t>RSE080750CR</t>
  </si>
  <si>
    <t>ROSE 2008 75 CL CRD</t>
  </si>
  <si>
    <t>SDC081500CRD</t>
  </si>
  <si>
    <t>SIMONE 2008 MAGNUM CRD</t>
  </si>
  <si>
    <t>RSE090750CRD</t>
  </si>
  <si>
    <t>ROSE 2009 75 CL CRD</t>
  </si>
  <si>
    <t xml:space="preserve">CODE ARTICLE </t>
  </si>
  <si>
    <t>LIBELLE</t>
  </si>
  <si>
    <t>VDT ROSE</t>
  </si>
  <si>
    <t>LIES</t>
  </si>
  <si>
    <t>ha</t>
  </si>
  <si>
    <t>LA GRANDE ROMPUE 1998 75 CL CRD</t>
  </si>
  <si>
    <t>LST070750CRD</t>
  </si>
  <si>
    <t>RESERVE 2007 75 CL CRD</t>
  </si>
  <si>
    <t>LST071500CRD</t>
  </si>
  <si>
    <t>RESERVE 2007 MAGNUM CRD</t>
  </si>
  <si>
    <t>RSV080750CR</t>
  </si>
  <si>
    <t>RESERVE 2008 75 CL CRD</t>
  </si>
  <si>
    <t>PRODUITS DIVERS</t>
  </si>
  <si>
    <t>SEAU A GLACE</t>
  </si>
  <si>
    <t>SEAU</t>
  </si>
  <si>
    <t>ICEBAG</t>
  </si>
  <si>
    <t>9COPEN</t>
  </si>
  <si>
    <t>CARAFE OPEN UP</t>
  </si>
  <si>
    <t>9FRUITI</t>
  </si>
  <si>
    <t>ADHESIF BANDEROLLEUSE</t>
  </si>
  <si>
    <t>SCOTCH A MAIN</t>
  </si>
  <si>
    <t>ENCRE NOIRE GRD</t>
  </si>
  <si>
    <t>ENCRE ARGENT</t>
  </si>
  <si>
    <t>Carton x1 MAG</t>
  </si>
  <si>
    <t>VOLUMES FUTS</t>
  </si>
  <si>
    <t>HL</t>
  </si>
  <si>
    <t>FUTS</t>
  </si>
  <si>
    <t>CUVES</t>
  </si>
  <si>
    <t>SUREMBALLAGES CB 6</t>
  </si>
  <si>
    <t>MAG VERT</t>
  </si>
  <si>
    <t xml:space="preserve">BLANCHE 3 L </t>
  </si>
  <si>
    <t>PARIS OR 2010</t>
  </si>
  <si>
    <t>GUIDE HACHETTE 2011</t>
  </si>
  <si>
    <t>ALIGAL 1 3.7 M2</t>
  </si>
  <si>
    <t>ALIGAL 2 TP 34</t>
  </si>
  <si>
    <t>ALIGAL 2 34</t>
  </si>
  <si>
    <t>BIDONS</t>
  </si>
  <si>
    <t>DIVERFOAM</t>
  </si>
  <si>
    <t>Qtés</t>
  </si>
  <si>
    <t>Cent 7</t>
  </si>
  <si>
    <t>Surflan</t>
  </si>
  <si>
    <t>Roundup</t>
  </si>
  <si>
    <t>Champ flo</t>
  </si>
  <si>
    <t>Palmir</t>
  </si>
  <si>
    <t>Bornéo</t>
  </si>
  <si>
    <t>RESERVE 2007 MAGNUM TB</t>
  </si>
  <si>
    <t>Carton GRIS x6 – eb 30</t>
  </si>
  <si>
    <t>BRUXELLE 2013</t>
  </si>
  <si>
    <t>GUIDE HACHETTE 2013</t>
  </si>
  <si>
    <t>PARIS BRONZE 2013</t>
  </si>
  <si>
    <t xml:space="preserve">STOCK PHYSIQUES </t>
  </si>
  <si>
    <t>(une barrique vide)</t>
  </si>
  <si>
    <t>civl</t>
  </si>
  <si>
    <t>imp chevalier</t>
  </si>
  <si>
    <t>union œnologue</t>
  </si>
  <si>
    <t>ducat</t>
  </si>
  <si>
    <t>DEPRECIATION</t>
  </si>
  <si>
    <t>SDC071500CRD</t>
  </si>
  <si>
    <t>RSE100750CRD</t>
  </si>
  <si>
    <t>Q3MAG</t>
  </si>
  <si>
    <t>Q3DMAG</t>
  </si>
  <si>
    <t>Q3 DOUBLE MAGNUM</t>
  </si>
  <si>
    <t>Q3 MAGNUM</t>
  </si>
  <si>
    <t>Q3TB</t>
  </si>
  <si>
    <t>Q3 75 CL</t>
  </si>
  <si>
    <t>FBR08</t>
  </si>
  <si>
    <t>Q2MAG</t>
  </si>
  <si>
    <t>Q2 MAG TB</t>
  </si>
  <si>
    <t>ABR 08</t>
  </si>
  <si>
    <t>SDC080750CRD</t>
  </si>
  <si>
    <t>SIMONE 2008 75 CL</t>
  </si>
  <si>
    <t>Q2</t>
  </si>
  <si>
    <t>Q3 DOUBLE MAG</t>
  </si>
  <si>
    <t>Q3MAGTB</t>
  </si>
  <si>
    <t>Q3 MAG TB</t>
  </si>
  <si>
    <t>Q3DMAGTB</t>
  </si>
  <si>
    <t>Q3 DOUBLE MAG TB</t>
  </si>
  <si>
    <t>Q375CL</t>
  </si>
  <si>
    <t>SDC090750CRD</t>
  </si>
  <si>
    <t>SIMONE DECAMPS 2009 CRD</t>
  </si>
  <si>
    <t>Q2MAGTB</t>
  </si>
  <si>
    <t>Q275CL</t>
  </si>
  <si>
    <t>Q2 75 CL</t>
  </si>
  <si>
    <t>Q2 MAG</t>
  </si>
  <si>
    <t>Q3 75</t>
  </si>
  <si>
    <t xml:space="preserve">Q2 75 </t>
  </si>
  <si>
    <t>RSV100750CRD</t>
  </si>
  <si>
    <t>RESERVE 2010</t>
  </si>
  <si>
    <t>ROSE 2010 75 CL CRD</t>
  </si>
  <si>
    <t>SDC100750CRD</t>
  </si>
  <si>
    <t>SIMONE 2010 75 CL CRD</t>
  </si>
  <si>
    <t>Q2 MAGNUM</t>
  </si>
  <si>
    <t>Q2TB</t>
  </si>
  <si>
    <t>Q1TB</t>
  </si>
  <si>
    <t>Q1 75 CL</t>
  </si>
  <si>
    <t>FVV110750B</t>
  </si>
  <si>
    <t>ADB110750CR</t>
  </si>
  <si>
    <t>ARNAUD DE BERRE 2011</t>
  </si>
  <si>
    <t>AVV11</t>
  </si>
  <si>
    <t>ALADERES SELECTION VIEILLES VIGNES</t>
  </si>
  <si>
    <t>Caisse x6 GLISSIERE</t>
  </si>
  <si>
    <t>ADB11</t>
  </si>
  <si>
    <t>RSV NEUTRE</t>
  </si>
  <si>
    <t>ABR NEUTRE</t>
  </si>
  <si>
    <t>ACC NEUTRE</t>
  </si>
  <si>
    <t>RSE NEUTRE</t>
  </si>
  <si>
    <t>AVV NEUTRE</t>
  </si>
  <si>
    <t>FBR NEUTRE</t>
  </si>
  <si>
    <t>FVV NEUTRE</t>
  </si>
  <si>
    <t>CTRE FJS NEUTRE</t>
  </si>
  <si>
    <t>CTR ALD NEUTRE</t>
  </si>
  <si>
    <t>PASSE NOIR 14</t>
  </si>
  <si>
    <t>PASSE BLANC 14</t>
  </si>
  <si>
    <t>PASSE NOIR 14.5</t>
  </si>
  <si>
    <t>GUIDE HACHETTE 2014</t>
  </si>
  <si>
    <t>ALIGAL 1 9.4</t>
  </si>
  <si>
    <t>POLYMUST AF</t>
  </si>
  <si>
    <t>1 KG</t>
  </si>
  <si>
    <t>1KG</t>
  </si>
  <si>
    <t>OENOCELL</t>
  </si>
  <si>
    <t>500 GR</t>
  </si>
  <si>
    <t>ACIDE TARTRIQUE</t>
  </si>
  <si>
    <t>5 KG</t>
  </si>
  <si>
    <t>OENOSTERIL</t>
  </si>
  <si>
    <t>48 COMP</t>
  </si>
  <si>
    <t>OENOSTERIL 5 GR</t>
  </si>
  <si>
    <t>FONTJON PREST VIEILLES VIGNES 11</t>
  </si>
  <si>
    <t>Carton gris x 12 eb 40</t>
  </si>
  <si>
    <t>GRAND VIN TRADIVERT</t>
  </si>
  <si>
    <t>TRADITION ECOVA TRADIVERT</t>
  </si>
  <si>
    <t>EXBLANC TRADITION ECOVA</t>
  </si>
  <si>
    <t>FGR NEUTRE</t>
  </si>
  <si>
    <t>PARIS OR 14</t>
  </si>
  <si>
    <t>PARIS ARGENT 14</t>
  </si>
  <si>
    <t>BRUXELLES 14</t>
  </si>
  <si>
    <t>PARIS ARGENT 13</t>
  </si>
  <si>
    <t>ALIGAL 12</t>
  </si>
  <si>
    <t>RESERVE 2007 DOUBLE MAGNUM CRD</t>
  </si>
  <si>
    <t>LST073000 CRD</t>
  </si>
  <si>
    <t>ABR090750CRD</t>
  </si>
  <si>
    <t>ALADERES BARRIQUE RESERVE 2009 CRD</t>
  </si>
  <si>
    <t>LST090750CRD</t>
  </si>
  <si>
    <t>GRANDE RESERVE 2009 CRD</t>
  </si>
  <si>
    <t>SIMONE DECAMPS 2009 MAG CRD</t>
  </si>
  <si>
    <t>SDC091500CR</t>
  </si>
  <si>
    <t>ADB12</t>
  </si>
  <si>
    <t>SDC12</t>
  </si>
  <si>
    <t>RSE CRD</t>
  </si>
  <si>
    <t>RSE MAG CRD</t>
  </si>
  <si>
    <t>Q1 RSE DB MAG TB</t>
  </si>
  <si>
    <t>RSE DB MAG CRD</t>
  </si>
  <si>
    <t>ROSE 75 CL CRD</t>
  </si>
  <si>
    <t>ROSE MAG CRD</t>
  </si>
  <si>
    <t>ROSE Q1 DB MAG TB</t>
  </si>
  <si>
    <t>ROSE DB MAG CRD</t>
  </si>
  <si>
    <t>RSV08 DMAG CRD</t>
  </si>
  <si>
    <t>SACS ROUGE KRAFT</t>
  </si>
  <si>
    <t xml:space="preserve">SAC 1 BX KRAFT </t>
  </si>
  <si>
    <t>CARTON 1 IMPERIALE</t>
  </si>
  <si>
    <t>CARTON 12 BG</t>
  </si>
  <si>
    <t>SDC NEUTRE (OLD)</t>
  </si>
  <si>
    <t>SDC NEUTRE (NEW)</t>
  </si>
  <si>
    <t xml:space="preserve">ALS NEUTRE </t>
  </si>
  <si>
    <t>ALS NEUTRE REWE</t>
  </si>
  <si>
    <t>AVV NEUTRE REWE</t>
  </si>
  <si>
    <t>ABR NEUTRE REWE</t>
  </si>
  <si>
    <t>RSE14</t>
  </si>
  <si>
    <t>C-ET CENTAURE 90x70</t>
  </si>
  <si>
    <t>C-ET CM 90x70</t>
  </si>
  <si>
    <t>GUIDE HACHETTE 2012</t>
  </si>
  <si>
    <t>PARIS ARGENT 2011</t>
  </si>
  <si>
    <t>ICVD47</t>
  </si>
  <si>
    <t>DB11</t>
  </si>
  <si>
    <t>VL1</t>
  </si>
  <si>
    <t>RX60</t>
  </si>
  <si>
    <t>VEGECOLL</t>
  </si>
  <si>
    <t>VINICLAR</t>
  </si>
  <si>
    <t>ANOXYDE C</t>
  </si>
  <si>
    <t>METABISULFITE DE POTASSIUM</t>
  </si>
  <si>
    <t>MICROCOL ALPHA</t>
  </si>
  <si>
    <t>EXTRALYSE</t>
  </si>
  <si>
    <t>250 G</t>
  </si>
  <si>
    <t>THIAZOTE</t>
  </si>
  <si>
    <t>GEOSORB</t>
  </si>
  <si>
    <t>GRANUCOL GE</t>
  </si>
  <si>
    <t>GRANUCOL FA</t>
  </si>
  <si>
    <t>PHOSPHATE D'AMMONIUM</t>
  </si>
  <si>
    <t>LAFASE FRUIT</t>
  </si>
  <si>
    <t>LAFAZYM PRESS</t>
  </si>
  <si>
    <t>LAFAZYM 600 XL</t>
  </si>
  <si>
    <t>100 G</t>
  </si>
  <si>
    <t>BT</t>
  </si>
  <si>
    <t>BOUCHON SOCALI LN1 49x24</t>
  </si>
  <si>
    <t>CARTOUCHE ENCRE LABEL900 NOIR</t>
  </si>
  <si>
    <t>CARTOUCHE ENCRE LABEL900 COULEUR</t>
  </si>
  <si>
    <t>CH</t>
  </si>
  <si>
    <t>CHASSIN</t>
  </si>
  <si>
    <t>E</t>
  </si>
  <si>
    <t>ERMITAGE</t>
  </si>
  <si>
    <t>R</t>
  </si>
  <si>
    <t>DARNAJOU</t>
  </si>
  <si>
    <t>D</t>
  </si>
  <si>
    <t>DEMPTOS</t>
  </si>
  <si>
    <t>SK</t>
  </si>
  <si>
    <t>STOCKINGER</t>
  </si>
  <si>
    <t>SAINT MARTIN</t>
  </si>
  <si>
    <t>SM</t>
  </si>
  <si>
    <t>RM</t>
  </si>
  <si>
    <t>REMOND</t>
  </si>
  <si>
    <t>T</t>
  </si>
  <si>
    <t>TARANSAUD</t>
  </si>
  <si>
    <t>AS</t>
  </si>
  <si>
    <t>BOUTES</t>
  </si>
  <si>
    <t>KADAR</t>
  </si>
  <si>
    <t>KD</t>
  </si>
  <si>
    <t>ANA SELECTION</t>
  </si>
  <si>
    <t>VOLUMES</t>
  </si>
  <si>
    <t>VERRE OPEN UP PRO TASTING</t>
  </si>
  <si>
    <t>TIRE-BOUCHON</t>
  </si>
  <si>
    <t>RSV081500B</t>
  </si>
  <si>
    <t>RESERVE 2008 150 CL CRD</t>
  </si>
  <si>
    <t>FGR080750B</t>
  </si>
  <si>
    <t>FONTJONCOUSE GRANDE RESERVE 2008 75 CL</t>
  </si>
  <si>
    <t>RSV110750B</t>
  </si>
  <si>
    <t>GRANDE RESERVE 2011 75 CL CRD</t>
  </si>
  <si>
    <t>RSV120750B</t>
  </si>
  <si>
    <t>GRANDE RESERVE 2012 75 CL</t>
  </si>
  <si>
    <t>SIMONE DESCAMPS 2012 75 cL CRD</t>
  </si>
  <si>
    <t>ARNAUD DE BERRE 2012 75 cL CRD</t>
  </si>
  <si>
    <t>ACC120750B</t>
  </si>
  <si>
    <t>ALADERES CUVEE CONFIDENTIELLE 2012 75 CL</t>
  </si>
  <si>
    <t>Q1 MAG</t>
  </si>
  <si>
    <t>SDC130750B</t>
  </si>
  <si>
    <t>RSV13050B</t>
  </si>
  <si>
    <t>ABR130750B</t>
  </si>
  <si>
    <t>AGR130750B</t>
  </si>
  <si>
    <t>stock physique au 22/06/2015</t>
  </si>
  <si>
    <t>ACC090750B</t>
  </si>
  <si>
    <t>ALADERES CUVEE CONFIDENTIELLES 2009 75 CL</t>
  </si>
  <si>
    <t>RSV091500B</t>
  </si>
  <si>
    <t>GRANDE RESERVE 2009 CRD MAGNUM</t>
  </si>
  <si>
    <t>ACC100750B</t>
  </si>
  <si>
    <t>ALADERES CUVEE CONFIDENTIELLE 2010 75 CL</t>
  </si>
  <si>
    <t>FBR100750B</t>
  </si>
  <si>
    <t>ALADERES BARRIQUE RESERVE 2010 75 CL</t>
  </si>
  <si>
    <t>RSV101500B</t>
  </si>
  <si>
    <t>GRANDE RESERVE 2010 MAGNUM</t>
  </si>
  <si>
    <t>FBR110750B</t>
  </si>
  <si>
    <t>FONTJON BARRIQUE RESERVE 2011</t>
  </si>
  <si>
    <t>FONTJON GRANDE RESERVE 2011 75 CL</t>
  </si>
  <si>
    <t>FGR110750B</t>
  </si>
  <si>
    <t>Q2 2008 75 CL</t>
  </si>
  <si>
    <t>AVV12</t>
  </si>
  <si>
    <t>ALADERES SELECT VIEILLES VIGNES 2012 75 CL</t>
  </si>
  <si>
    <t>Q1 RSE MAG TB</t>
  </si>
  <si>
    <t>ROSE MAG TB</t>
  </si>
  <si>
    <t>ADB131500B</t>
  </si>
  <si>
    <t>ARNAUD DE BERRE 2013 MAG CRD</t>
  </si>
  <si>
    <t>Q1 RSE 75 CL TB</t>
  </si>
  <si>
    <t>ROSE 75 CL TB</t>
  </si>
  <si>
    <t>ALS140750B</t>
  </si>
  <si>
    <t>ALADERES ROSE 2014 75 CL CRD</t>
  </si>
  <si>
    <t>FVV130750B</t>
  </si>
  <si>
    <t>FONTJON VIEILLES VIGNES 2013 75 CL CRD</t>
  </si>
  <si>
    <t>carton blanc B30 prestige</t>
  </si>
  <si>
    <t>MIRA OI BLANCHE</t>
  </si>
  <si>
    <t>TRADITION ECOVA VERT</t>
  </si>
  <si>
    <t>CAPGARD NOIRE 75 cL</t>
  </si>
  <si>
    <t>CAPGARD GRISE 75 cL</t>
  </si>
  <si>
    <t>ADB13</t>
  </si>
  <si>
    <t>C-ET ADB13</t>
  </si>
  <si>
    <t xml:space="preserve">AVV12 </t>
  </si>
  <si>
    <t>AVV12 TRI VIN</t>
  </si>
  <si>
    <t>C-ET AVV12 TRI VIN</t>
  </si>
  <si>
    <t>SDC13</t>
  </si>
  <si>
    <t>C-ET SDC13</t>
  </si>
  <si>
    <t>SDC09 (OLD PACK)</t>
  </si>
  <si>
    <t>C-ET ADB12</t>
  </si>
  <si>
    <t>RSV09</t>
  </si>
  <si>
    <t>PKA</t>
  </si>
  <si>
    <t>C-ET PKA 14</t>
  </si>
  <si>
    <t>SDC12 OLD PACK</t>
  </si>
  <si>
    <t>C-ET SDC12 OLD PACK</t>
  </si>
  <si>
    <t>C-ET RSE14</t>
  </si>
  <si>
    <t>C-ET LST NEUTRE</t>
  </si>
  <si>
    <t>GUIDE HACHETTE 2015</t>
  </si>
  <si>
    <t>BRUXELLE 2015</t>
  </si>
  <si>
    <t>VINALIES INTERNATIONAL</t>
  </si>
  <si>
    <t>VINGERONS INDEPENDANTS 2015</t>
  </si>
  <si>
    <t>SO2 GAZEUX TUBE T50</t>
  </si>
  <si>
    <t>ENCRE NOIRE HP CQ8449A</t>
  </si>
  <si>
    <t>BECOPAD</t>
  </si>
  <si>
    <t>DRIFINE</t>
  </si>
  <si>
    <t>100 GR</t>
  </si>
  <si>
    <t>CELSTAB</t>
  </si>
  <si>
    <t>GECOLSUPRA</t>
  </si>
  <si>
    <t>boa</t>
  </si>
  <si>
    <t>emir</t>
  </si>
  <si>
    <t>glifazol</t>
  </si>
  <si>
    <t>magister</t>
  </si>
  <si>
    <t>decis</t>
  </si>
  <si>
    <t>kusabi</t>
  </si>
  <si>
    <t>proclain</t>
  </si>
  <si>
    <t>chai</t>
  </si>
  <si>
    <t>mise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</si>
</sst>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2"/>
      <color indexed="10"/>
      <name val="Arial"/>
      <family val="2"/>
    </font>
    <font>
      <b/>
      <sz val="22"/>
      <name val="Arial"/>
      <family val="2"/>
    </font>
    <font>
      <sz val="10"/>
      <color indexed="22"/>
      <name val="Arial"/>
      <family val="2"/>
    </font>
    <font>
      <b/>
      <sz val="16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left" indent="1"/>
    </xf>
    <xf numFmtId="0" fontId="2" fillId="0" borderId="0" xfId="0" applyFont="1"/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horizontal="left" vertical="center" wrapText="1" indent="1"/>
    </xf>
    <xf numFmtId="4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4" fontId="0" fillId="2" borderId="9" xfId="0" applyNumberFormat="1" applyFill="1" applyBorder="1"/>
    <xf numFmtId="4" fontId="0" fillId="0" borderId="9" xfId="0" applyNumberFormat="1" applyBorder="1"/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0" fillId="2" borderId="3" xfId="0" applyFill="1" applyBorder="1"/>
    <xf numFmtId="0" fontId="0" fillId="0" borderId="5" xfId="0" applyBorder="1"/>
    <xf numFmtId="0" fontId="0" fillId="0" borderId="8" xfId="0" applyBorder="1"/>
    <xf numFmtId="0" fontId="2" fillId="0" borderId="6" xfId="0" applyFont="1" applyBorder="1" applyAlignment="1">
      <alignment vertical="center" wrapText="1"/>
    </xf>
    <xf numFmtId="0" fontId="0" fillId="0" borderId="6" xfId="0" applyBorder="1"/>
    <xf numFmtId="0" fontId="3" fillId="0" borderId="5" xfId="0" applyFont="1" applyBorder="1"/>
    <xf numFmtId="0" fontId="2" fillId="0" borderId="11" xfId="0" applyFont="1" applyBorder="1" applyAlignment="1">
      <alignment vertical="center" wrapText="1"/>
    </xf>
    <xf numFmtId="0" fontId="0" fillId="0" borderId="12" xfId="0" applyBorder="1"/>
    <xf numFmtId="0" fontId="0" fillId="0" borderId="0" xfId="0" applyBorder="1"/>
    <xf numFmtId="0" fontId="4" fillId="2" borderId="2" xfId="0" applyFont="1" applyFill="1" applyBorder="1"/>
    <xf numFmtId="0" fontId="3" fillId="0" borderId="6" xfId="0" applyFont="1" applyBorder="1"/>
    <xf numFmtId="0" fontId="3" fillId="0" borderId="0" xfId="0" applyFont="1"/>
    <xf numFmtId="0" fontId="0" fillId="0" borderId="5" xfId="0" applyBorder="1" applyAlignment="1">
      <alignment horizontal="right"/>
    </xf>
    <xf numFmtId="0" fontId="0" fillId="0" borderId="6" xfId="0" applyFill="1" applyBorder="1"/>
    <xf numFmtId="0" fontId="4" fillId="0" borderId="6" xfId="0" applyFont="1" applyBorder="1"/>
    <xf numFmtId="0" fontId="0" fillId="2" borderId="6" xfId="0" applyFill="1" applyBorder="1"/>
    <xf numFmtId="4" fontId="0" fillId="0" borderId="6" xfId="0" applyNumberFormat="1" applyBorder="1"/>
    <xf numFmtId="4" fontId="2" fillId="0" borderId="6" xfId="0" applyNumberFormat="1" applyFont="1" applyFill="1" applyBorder="1" applyAlignment="1">
      <alignment horizontal="left" vertical="center" wrapText="1" indent="1"/>
    </xf>
    <xf numFmtId="4" fontId="5" fillId="2" borderId="9" xfId="0" applyNumberFormat="1" applyFont="1" applyFill="1" applyBorder="1"/>
    <xf numFmtId="4" fontId="5" fillId="0" borderId="9" xfId="0" applyNumberFormat="1" applyFont="1" applyBorder="1"/>
    <xf numFmtId="4" fontId="6" fillId="0" borderId="6" xfId="0" applyNumberFormat="1" applyFont="1" applyBorder="1" applyAlignment="1">
      <alignment horizontal="left" vertical="center" wrapText="1" indent="1"/>
    </xf>
    <xf numFmtId="0" fontId="0" fillId="0" borderId="6" xfId="0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0" fontId="4" fillId="0" borderId="1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2" borderId="6" xfId="0" applyFont="1" applyFill="1" applyBorder="1" applyAlignment="1"/>
    <xf numFmtId="0" fontId="3" fillId="0" borderId="6" xfId="0" applyFont="1" applyBorder="1" applyAlignment="1"/>
    <xf numFmtId="0" fontId="0" fillId="0" borderId="6" xfId="0" applyFont="1" applyBorder="1" applyAlignment="1">
      <alignment horizontal="center"/>
    </xf>
    <xf numFmtId="0" fontId="0" fillId="0" borderId="0" xfId="0" applyBorder="1" applyAlignment="1">
      <alignment horizontal="left"/>
    </xf>
    <xf numFmtId="3" fontId="0" fillId="0" borderId="0" xfId="0" applyNumberFormat="1" applyBorder="1"/>
    <xf numFmtId="3" fontId="4" fillId="0" borderId="19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0" xfId="0" applyFont="1" applyBorder="1" applyAlignment="1">
      <alignment horizontal="left"/>
    </xf>
    <xf numFmtId="3" fontId="0" fillId="0" borderId="0" xfId="0" applyNumberFormat="1" applyFont="1" applyBorder="1"/>
    <xf numFmtId="0" fontId="4" fillId="0" borderId="20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4" fontId="0" fillId="0" borderId="0" xfId="0" applyNumberFormat="1"/>
    <xf numFmtId="0" fontId="4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6" xfId="0" applyFont="1" applyBorder="1" applyAlignment="1">
      <alignment vertical="center" wrapText="1"/>
    </xf>
    <xf numFmtId="0" fontId="0" fillId="3" borderId="26" xfId="0" applyFont="1" applyFill="1" applyBorder="1" applyAlignment="1">
      <alignment horizontal="center" vertical="center" wrapText="1"/>
    </xf>
    <xf numFmtId="0" fontId="0" fillId="3" borderId="26" xfId="0" applyFont="1" applyFill="1" applyBorder="1" applyAlignment="1">
      <alignment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6" xfId="0" applyFill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6" xfId="0" applyFill="1" applyBorder="1" applyAlignment="1">
      <alignment vertical="center" wrapText="1"/>
    </xf>
    <xf numFmtId="0" fontId="3" fillId="0" borderId="6" xfId="0" applyFont="1" applyFill="1" applyBorder="1"/>
    <xf numFmtId="0" fontId="0" fillId="0" borderId="0" xfId="0" applyFill="1" applyBorder="1"/>
    <xf numFmtId="0" fontId="1" fillId="0" borderId="19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27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3" borderId="29" xfId="0" applyFont="1" applyFill="1" applyBorder="1" applyAlignment="1">
      <alignment vertical="center" wrapText="1"/>
    </xf>
    <xf numFmtId="0" fontId="0" fillId="5" borderId="6" xfId="0" applyFill="1" applyBorder="1"/>
    <xf numFmtId="0" fontId="0" fillId="3" borderId="28" xfId="0" applyFont="1" applyFill="1" applyBorder="1" applyAlignment="1">
      <alignment vertical="center" wrapText="1"/>
    </xf>
    <xf numFmtId="0" fontId="0" fillId="3" borderId="31" xfId="0" applyFont="1" applyFill="1" applyBorder="1" applyAlignment="1">
      <alignment vertical="center" wrapText="1"/>
    </xf>
    <xf numFmtId="0" fontId="0" fillId="4" borderId="32" xfId="0" applyFont="1" applyFill="1" applyBorder="1" applyAlignment="1">
      <alignment vertical="center" wrapText="1"/>
    </xf>
    <xf numFmtId="0" fontId="4" fillId="0" borderId="33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35" xfId="0" applyBorder="1"/>
    <xf numFmtId="0" fontId="0" fillId="0" borderId="36" xfId="0" applyBorder="1"/>
    <xf numFmtId="0" fontId="0" fillId="0" borderId="37" xfId="0" applyBorder="1" applyAlignment="1">
      <alignment horizontal="right"/>
    </xf>
    <xf numFmtId="0" fontId="0" fillId="0" borderId="38" xfId="0" applyBorder="1" applyAlignment="1">
      <alignment horizontal="right"/>
    </xf>
    <xf numFmtId="0" fontId="2" fillId="2" borderId="41" xfId="0" applyFont="1" applyFill="1" applyBorder="1" applyAlignment="1">
      <alignment horizontal="left" indent="1"/>
    </xf>
    <xf numFmtId="0" fontId="2" fillId="2" borderId="42" xfId="0" applyFont="1" applyFill="1" applyBorder="1" applyAlignment="1">
      <alignment horizontal="left" indent="1"/>
    </xf>
    <xf numFmtId="4" fontId="2" fillId="0" borderId="19" xfId="0" applyNumberFormat="1" applyFont="1" applyFill="1" applyBorder="1" applyAlignment="1">
      <alignment horizontal="left" vertical="center" wrapText="1" indent="1"/>
    </xf>
    <xf numFmtId="4" fontId="2" fillId="0" borderId="24" xfId="0" applyNumberFormat="1" applyFont="1" applyFill="1" applyBorder="1" applyAlignment="1">
      <alignment horizontal="left" vertical="center" wrapText="1" indent="1"/>
    </xf>
    <xf numFmtId="4" fontId="2" fillId="0" borderId="25" xfId="0" applyNumberFormat="1" applyFont="1" applyFill="1" applyBorder="1" applyAlignment="1">
      <alignment horizontal="left" vertical="center" wrapText="1" indent="1"/>
    </xf>
    <xf numFmtId="4" fontId="5" fillId="2" borderId="43" xfId="0" applyNumberFormat="1" applyFont="1" applyFill="1" applyBorder="1"/>
    <xf numFmtId="4" fontId="5" fillId="0" borderId="44" xfId="0" applyNumberFormat="1" applyFont="1" applyBorder="1"/>
    <xf numFmtId="14" fontId="0" fillId="0" borderId="6" xfId="0" applyNumberFormat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left" vertical="center" wrapText="1" indent="1"/>
    </xf>
    <xf numFmtId="0" fontId="10" fillId="6" borderId="0" xfId="0" applyFont="1" applyFill="1"/>
    <xf numFmtId="0" fontId="2" fillId="7" borderId="45" xfId="0" applyFont="1" applyFill="1" applyBorder="1"/>
    <xf numFmtId="0" fontId="10" fillId="0" borderId="0" xfId="0" applyFont="1"/>
    <xf numFmtId="0" fontId="10" fillId="7" borderId="6" xfId="0" applyFont="1" applyFill="1" applyBorder="1"/>
    <xf numFmtId="0" fontId="0" fillId="4" borderId="6" xfId="0" applyFont="1" applyFill="1" applyBorder="1" applyAlignment="1">
      <alignment vertical="center" wrapText="1"/>
    </xf>
    <xf numFmtId="0" fontId="0" fillId="3" borderId="46" xfId="0" applyFont="1" applyFill="1" applyBorder="1" applyAlignment="1">
      <alignment vertical="center" wrapText="1"/>
    </xf>
    <xf numFmtId="4" fontId="2" fillId="0" borderId="0" xfId="0" applyNumberFormat="1" applyFont="1" applyBorder="1" applyAlignment="1">
      <alignment horizontal="left" vertical="center" wrapText="1" indent="1"/>
    </xf>
    <xf numFmtId="4" fontId="0" fillId="0" borderId="0" xfId="0" applyNumberFormat="1" applyBorder="1"/>
    <xf numFmtId="0" fontId="13" fillId="0" borderId="0" xfId="0" applyFont="1"/>
    <xf numFmtId="0" fontId="13" fillId="0" borderId="0" xfId="0" applyFont="1" applyAlignment="1">
      <alignment wrapText="1"/>
    </xf>
    <xf numFmtId="0" fontId="13" fillId="0" borderId="0" xfId="0" applyFont="1" applyFill="1"/>
    <xf numFmtId="0" fontId="0" fillId="0" borderId="6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0" fillId="0" borderId="13" xfId="0" applyBorder="1"/>
    <xf numFmtId="0" fontId="0" fillId="0" borderId="10" xfId="0" applyBorder="1"/>
    <xf numFmtId="0" fontId="0" fillId="0" borderId="21" xfId="0" applyBorder="1"/>
    <xf numFmtId="0" fontId="0" fillId="8" borderId="6" xfId="0" applyFill="1" applyBorder="1"/>
    <xf numFmtId="0" fontId="14" fillId="8" borderId="6" xfId="0" applyFont="1" applyFill="1" applyBorder="1" applyAlignment="1">
      <alignment horizontal="center"/>
    </xf>
    <xf numFmtId="0" fontId="0" fillId="9" borderId="6" xfId="0" applyFill="1" applyBorder="1"/>
    <xf numFmtId="0" fontId="0" fillId="5" borderId="0" xfId="0" applyFill="1" applyBorder="1"/>
    <xf numFmtId="0" fontId="7" fillId="0" borderId="0" xfId="0" applyFont="1" applyAlignment="1">
      <alignment horizontal="center" vertical="center" wrapText="1"/>
    </xf>
    <xf numFmtId="0" fontId="8" fillId="3" borderId="29" xfId="0" applyFont="1" applyFill="1" applyBorder="1" applyAlignment="1">
      <alignment vertical="center" wrapText="1"/>
    </xf>
    <xf numFmtId="0" fontId="0" fillId="3" borderId="29" xfId="0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14" fontId="0" fillId="0" borderId="0" xfId="0" applyNumberFormat="1" applyAlignment="1">
      <alignment vertical="center" wrapText="1"/>
    </xf>
    <xf numFmtId="0" fontId="0" fillId="0" borderId="29" xfId="0" applyFont="1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3" borderId="13" xfId="0" applyFill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47" xfId="0" applyFill="1" applyBorder="1"/>
    <xf numFmtId="0" fontId="0" fillId="0" borderId="14" xfId="0" applyFill="1" applyBorder="1"/>
    <xf numFmtId="0" fontId="0" fillId="4" borderId="48" xfId="0" applyFont="1" applyFill="1" applyBorder="1" applyAlignment="1">
      <alignment vertical="center" wrapText="1"/>
    </xf>
    <xf numFmtId="0" fontId="0" fillId="3" borderId="48" xfId="0" applyFont="1" applyFill="1" applyBorder="1" applyAlignment="1">
      <alignment vertical="center" wrapText="1"/>
    </xf>
    <xf numFmtId="0" fontId="0" fillId="0" borderId="9" xfId="0" applyFill="1" applyBorder="1"/>
    <xf numFmtId="0" fontId="0" fillId="3" borderId="49" xfId="0" applyFont="1" applyFill="1" applyBorder="1" applyAlignment="1">
      <alignment vertical="center" wrapText="1"/>
    </xf>
    <xf numFmtId="0" fontId="0" fillId="3" borderId="0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3" borderId="6" xfId="0" applyFont="1" applyFill="1" applyBorder="1" applyAlignment="1">
      <alignment vertical="center" wrapText="1"/>
    </xf>
    <xf numFmtId="0" fontId="0" fillId="3" borderId="30" xfId="0" applyFont="1" applyFill="1" applyBorder="1" applyAlignment="1">
      <alignment vertical="center" wrapText="1"/>
    </xf>
    <xf numFmtId="0" fontId="0" fillId="4" borderId="31" xfId="0" applyFont="1" applyFill="1" applyBorder="1" applyAlignment="1">
      <alignment vertical="center" wrapText="1"/>
    </xf>
    <xf numFmtId="0" fontId="3" fillId="0" borderId="12" xfId="0" applyFont="1" applyBorder="1"/>
    <xf numFmtId="0" fontId="2" fillId="2" borderId="0" xfId="0" applyFont="1" applyFill="1" applyBorder="1" applyAlignment="1">
      <alignment horizontal="left" indent="1"/>
    </xf>
    <xf numFmtId="4" fontId="2" fillId="0" borderId="9" xfId="0" applyNumberFormat="1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4" fontId="2" fillId="10" borderId="6" xfId="0" applyNumberFormat="1" applyFont="1" applyFill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82"/>
  <sheetViews>
    <sheetView tabSelected="1" topLeftCell="A169" workbookViewId="0">
      <selection activeCell="F180" sqref="F180"/>
    </sheetView>
  </sheetViews>
  <sheetFormatPr baseColWidth="10" defaultRowHeight="15" x14ac:dyDescent="0.2"/>
  <cols>
    <col min="1" max="1" width="26.7109375" style="9" customWidth="1"/>
    <col min="2" max="2" width="26.7109375" customWidth="1"/>
    <col min="3" max="3" width="12.28515625" bestFit="1" customWidth="1"/>
    <col min="4" max="5" width="19" bestFit="1" customWidth="1"/>
    <col min="7" max="7" width="18.140625" bestFit="1" customWidth="1"/>
  </cols>
  <sheetData>
    <row r="1" spans="1:8" ht="15.75" x14ac:dyDescent="0.2">
      <c r="A1" s="164" t="s">
        <v>0</v>
      </c>
      <c r="B1" s="164"/>
      <c r="C1" s="165">
        <v>41742</v>
      </c>
      <c r="D1" s="164"/>
    </row>
    <row r="2" spans="1:8" ht="15.75" thickBot="1" x14ac:dyDescent="0.25"/>
    <row r="3" spans="1:8" s="4" customFormat="1" ht="29.25" customHeight="1" thickBot="1" x14ac:dyDescent="0.25">
      <c r="A3" s="1" t="s">
        <v>1</v>
      </c>
      <c r="B3" s="2" t="s">
        <v>48</v>
      </c>
      <c r="C3" s="3" t="s">
        <v>2</v>
      </c>
      <c r="D3" s="3" t="s">
        <v>3</v>
      </c>
      <c r="E3" s="162"/>
      <c r="F3"/>
      <c r="H3" s="118" t="s">
        <v>215</v>
      </c>
    </row>
    <row r="4" spans="1:8" s="9" customFormat="1" ht="29.25" customHeight="1" x14ac:dyDescent="0.2">
      <c r="A4" s="5" t="s">
        <v>205</v>
      </c>
      <c r="B4" s="6">
        <f>1200+600+150+1200*6</f>
        <v>9150</v>
      </c>
      <c r="C4" s="180">
        <v>0.64900000000000002</v>
      </c>
      <c r="D4" s="7">
        <f>B4*C4</f>
        <v>5938.35</v>
      </c>
      <c r="E4" s="123"/>
      <c r="F4" s="8"/>
    </row>
    <row r="5" spans="1:8" s="9" customFormat="1" ht="29.25" customHeight="1" x14ac:dyDescent="0.2">
      <c r="A5" s="5" t="s">
        <v>286</v>
      </c>
      <c r="B5" s="6">
        <f>320+1800</f>
        <v>2120</v>
      </c>
      <c r="C5" s="7">
        <v>0.81</v>
      </c>
      <c r="D5" s="7">
        <f t="shared" ref="D5:D14" si="0">B5*C5</f>
        <v>1717.2</v>
      </c>
      <c r="E5" s="123"/>
      <c r="F5" s="8"/>
    </row>
    <row r="6" spans="1:8" s="9" customFormat="1" ht="29.25" customHeight="1" x14ac:dyDescent="0.2">
      <c r="A6" s="5" t="s">
        <v>423</v>
      </c>
      <c r="B6" s="6">
        <f>300+1300</f>
        <v>1600</v>
      </c>
      <c r="C6" s="7">
        <v>0.81</v>
      </c>
      <c r="D6" s="7">
        <v>1717.2</v>
      </c>
      <c r="E6" s="123"/>
      <c r="F6" s="8"/>
    </row>
    <row r="7" spans="1:8" s="9" customFormat="1" ht="29.25" customHeight="1" x14ac:dyDescent="0.2">
      <c r="A7" s="5" t="s">
        <v>187</v>
      </c>
      <c r="B7" s="6">
        <v>80</v>
      </c>
      <c r="C7" s="7">
        <v>2.37</v>
      </c>
      <c r="D7" s="7">
        <f t="shared" si="0"/>
        <v>189.60000000000002</v>
      </c>
      <c r="E7" s="123"/>
      <c r="F7" s="8"/>
    </row>
    <row r="8" spans="1:8" s="9" customFormat="1" ht="29.25" customHeight="1" x14ac:dyDescent="0.2">
      <c r="A8" s="5" t="s">
        <v>315</v>
      </c>
      <c r="B8" s="6">
        <v>22</v>
      </c>
      <c r="C8" s="7">
        <v>0.28999999999999998</v>
      </c>
      <c r="D8" s="7">
        <f t="shared" si="0"/>
        <v>6.38</v>
      </c>
      <c r="E8" s="123"/>
      <c r="F8" s="8"/>
    </row>
    <row r="9" spans="1:8" s="9" customFormat="1" ht="29.25" customHeight="1" x14ac:dyDescent="0.2">
      <c r="A9" s="5" t="s">
        <v>316</v>
      </c>
      <c r="B9" s="6">
        <v>75</v>
      </c>
      <c r="C9" s="7">
        <v>0.42</v>
      </c>
      <c r="D9" s="7">
        <f t="shared" si="0"/>
        <v>31.5</v>
      </c>
      <c r="E9" s="123"/>
      <c r="F9" s="8"/>
    </row>
    <row r="10" spans="1:8" s="9" customFormat="1" ht="29.25" customHeight="1" x14ac:dyDescent="0.2">
      <c r="A10" s="5" t="s">
        <v>4</v>
      </c>
      <c r="B10" s="6">
        <v>60</v>
      </c>
      <c r="C10" s="180">
        <v>1.4670000000000001</v>
      </c>
      <c r="D10" s="7">
        <f t="shared" si="0"/>
        <v>88.02000000000001</v>
      </c>
      <c r="E10" s="123"/>
      <c r="F10" s="8"/>
    </row>
    <row r="11" spans="1:8" s="9" customFormat="1" ht="29.25" customHeight="1" x14ac:dyDescent="0.2">
      <c r="A11" s="5" t="s">
        <v>5</v>
      </c>
      <c r="B11" s="6">
        <v>50</v>
      </c>
      <c r="C11" s="7">
        <v>0.48</v>
      </c>
      <c r="D11" s="7">
        <f t="shared" si="0"/>
        <v>24</v>
      </c>
      <c r="E11" s="123"/>
      <c r="F11" s="8"/>
    </row>
    <row r="12" spans="1:8" s="9" customFormat="1" ht="29.25" customHeight="1" x14ac:dyDescent="0.2">
      <c r="A12" s="85" t="s">
        <v>182</v>
      </c>
      <c r="B12" s="86">
        <v>51</v>
      </c>
      <c r="C12" s="7">
        <v>0.56999999999999995</v>
      </c>
      <c r="D12" s="7">
        <f t="shared" si="0"/>
        <v>29.069999999999997</v>
      </c>
      <c r="E12" s="123"/>
      <c r="F12" s="8"/>
    </row>
    <row r="13" spans="1:8" s="9" customFormat="1" ht="29.25" customHeight="1" x14ac:dyDescent="0.2">
      <c r="A13" s="10" t="s">
        <v>6</v>
      </c>
      <c r="B13" s="11">
        <v>46</v>
      </c>
      <c r="C13" s="7">
        <v>0.66</v>
      </c>
      <c r="D13" s="7">
        <f t="shared" si="0"/>
        <v>30.360000000000003</v>
      </c>
      <c r="E13" s="163"/>
      <c r="F13" s="163"/>
      <c r="G13" s="12" t="s">
        <v>7</v>
      </c>
    </row>
    <row r="14" spans="1:8" s="9" customFormat="1" ht="29.25" customHeight="1" x14ac:dyDescent="0.2">
      <c r="A14" s="10" t="s">
        <v>8</v>
      </c>
      <c r="B14" s="11">
        <v>80</v>
      </c>
      <c r="C14" s="7">
        <v>0.74</v>
      </c>
      <c r="D14" s="7">
        <f t="shared" si="0"/>
        <v>59.2</v>
      </c>
      <c r="E14" s="163"/>
      <c r="F14" s="163"/>
      <c r="G14" s="13">
        <f>SUM(D4:D16)</f>
        <v>9908.6800000000021</v>
      </c>
    </row>
    <row r="15" spans="1:8" s="9" customFormat="1" ht="29.25" customHeight="1" x14ac:dyDescent="0.2">
      <c r="A15" s="20" t="s">
        <v>317</v>
      </c>
      <c r="B15" s="20">
        <v>30</v>
      </c>
      <c r="C15" s="7">
        <v>2.02</v>
      </c>
      <c r="D15" s="7">
        <f>+C15*B15</f>
        <v>60.6</v>
      </c>
      <c r="E15" s="123"/>
      <c r="F15" s="124"/>
    </row>
    <row r="16" spans="1:8" s="9" customFormat="1" ht="29.25" customHeight="1" x14ac:dyDescent="0.2">
      <c r="A16" s="20" t="s">
        <v>318</v>
      </c>
      <c r="B16" s="20">
        <v>20</v>
      </c>
      <c r="C16" s="7">
        <v>0.86</v>
      </c>
      <c r="D16" s="7">
        <f>+C16*B16</f>
        <v>17.2</v>
      </c>
      <c r="E16" s="123"/>
      <c r="F16" s="124"/>
    </row>
    <row r="17" spans="1:7" ht="29.25" customHeight="1" x14ac:dyDescent="0.2">
      <c r="A17" s="14"/>
      <c r="B17" s="15"/>
      <c r="C17" s="9"/>
      <c r="D17" s="9"/>
      <c r="E17" s="9"/>
      <c r="F17" s="9"/>
    </row>
    <row r="18" spans="1:7" ht="29.25" customHeight="1" x14ac:dyDescent="0.2">
      <c r="A18" s="16" t="s">
        <v>9</v>
      </c>
      <c r="B18" s="17"/>
      <c r="C18" s="3" t="s">
        <v>2</v>
      </c>
      <c r="D18" s="3" t="s">
        <v>3</v>
      </c>
      <c r="E18" s="162"/>
    </row>
    <row r="19" spans="1:7" ht="29.25" customHeight="1" x14ac:dyDescent="0.2">
      <c r="A19" s="5" t="s">
        <v>10</v>
      </c>
      <c r="B19" s="18">
        <f>8*2*6+2*6+10</f>
        <v>118</v>
      </c>
      <c r="C19" s="7">
        <v>2.2999999999999998</v>
      </c>
      <c r="D19" s="7">
        <f t="shared" ref="D19:D25" si="1">B19*C19</f>
        <v>271.39999999999998</v>
      </c>
      <c r="E19" s="123"/>
    </row>
    <row r="20" spans="1:7" ht="29.25" customHeight="1" x14ac:dyDescent="0.2">
      <c r="A20" s="5" t="s">
        <v>11</v>
      </c>
      <c r="B20" s="18">
        <v>150</v>
      </c>
      <c r="C20" s="7">
        <v>3.34</v>
      </c>
      <c r="D20" s="7">
        <f t="shared" si="1"/>
        <v>501</v>
      </c>
      <c r="E20" s="123"/>
    </row>
    <row r="21" spans="1:7" ht="29.25" customHeight="1" x14ac:dyDescent="0.2">
      <c r="A21" s="5" t="s">
        <v>259</v>
      </c>
      <c r="B21" s="18">
        <v>180</v>
      </c>
      <c r="C21" s="180">
        <v>4.5999999999999996</v>
      </c>
      <c r="D21" s="7">
        <f t="shared" si="1"/>
        <v>827.99999999999989</v>
      </c>
      <c r="E21" s="123"/>
    </row>
    <row r="22" spans="1:7" ht="29.25" customHeight="1" x14ac:dyDescent="0.2">
      <c r="A22" s="5" t="s">
        <v>12</v>
      </c>
      <c r="B22" s="18">
        <f>8+50</f>
        <v>58</v>
      </c>
      <c r="C22" s="7">
        <v>6.24</v>
      </c>
      <c r="D22" s="7">
        <f t="shared" si="1"/>
        <v>361.92</v>
      </c>
      <c r="E22" s="123"/>
    </row>
    <row r="23" spans="1:7" ht="29.25" customHeight="1" x14ac:dyDescent="0.2">
      <c r="A23" s="5" t="s">
        <v>13</v>
      </c>
      <c r="B23" s="18">
        <v>9</v>
      </c>
      <c r="C23" s="7">
        <v>11.29</v>
      </c>
      <c r="D23" s="7">
        <f t="shared" si="1"/>
        <v>101.60999999999999</v>
      </c>
      <c r="E23" s="123"/>
    </row>
    <row r="24" spans="1:7" ht="29.25" customHeight="1" x14ac:dyDescent="0.2">
      <c r="A24" s="10" t="s">
        <v>14</v>
      </c>
      <c r="B24" s="19">
        <f>15*24*2+3+54+15*24</f>
        <v>1137</v>
      </c>
      <c r="C24" s="7">
        <v>3.34</v>
      </c>
      <c r="D24" s="7">
        <f t="shared" si="1"/>
        <v>3797.58</v>
      </c>
      <c r="E24" s="163"/>
      <c r="F24" s="163"/>
      <c r="G24" s="12" t="s">
        <v>7</v>
      </c>
    </row>
    <row r="25" spans="1:7" ht="29.25" customHeight="1" x14ac:dyDescent="0.2">
      <c r="A25" s="20" t="s">
        <v>15</v>
      </c>
      <c r="B25" s="21">
        <v>200</v>
      </c>
      <c r="C25" s="7">
        <v>6.24</v>
      </c>
      <c r="D25" s="7">
        <f t="shared" si="1"/>
        <v>1248</v>
      </c>
      <c r="E25" s="163"/>
      <c r="F25" s="163"/>
      <c r="G25" s="13">
        <f>SUM(D19:D25)</f>
        <v>7109.51</v>
      </c>
    </row>
    <row r="26" spans="1:7" ht="29.25" customHeight="1" x14ac:dyDescent="0.2">
      <c r="B26" s="15"/>
    </row>
    <row r="27" spans="1:7" ht="29.25" customHeight="1" x14ac:dyDescent="0.2">
      <c r="A27" s="16" t="s">
        <v>16</v>
      </c>
      <c r="B27" s="17"/>
      <c r="C27" s="3" t="s">
        <v>2</v>
      </c>
      <c r="D27" s="3" t="s">
        <v>3</v>
      </c>
      <c r="E27" s="162"/>
    </row>
    <row r="28" spans="1:7" ht="29.25" customHeight="1" x14ac:dyDescent="0.2">
      <c r="A28" s="5" t="s">
        <v>17</v>
      </c>
      <c r="B28">
        <v>513</v>
      </c>
      <c r="C28" s="7">
        <v>0.33</v>
      </c>
      <c r="D28" s="7">
        <f>B29*C28</f>
        <v>147.18</v>
      </c>
      <c r="E28" s="123"/>
    </row>
    <row r="29" spans="1:7" ht="29.25" customHeight="1" x14ac:dyDescent="0.2">
      <c r="A29" s="5" t="s">
        <v>287</v>
      </c>
      <c r="B29" s="18">
        <f>223*2</f>
        <v>446</v>
      </c>
      <c r="C29" s="7">
        <v>0.33</v>
      </c>
      <c r="D29" s="7">
        <f>B30*C29</f>
        <v>76.56</v>
      </c>
      <c r="E29" s="123"/>
    </row>
    <row r="30" spans="1:7" ht="29.25" customHeight="1" x14ac:dyDescent="0.2">
      <c r="A30" s="5" t="s">
        <v>288</v>
      </c>
      <c r="B30" s="22">
        <v>232</v>
      </c>
      <c r="C30" s="7">
        <v>0.27</v>
      </c>
      <c r="D30" s="7">
        <f>B30*C30</f>
        <v>62.64</v>
      </c>
      <c r="E30" s="123"/>
    </row>
    <row r="31" spans="1:7" ht="29.25" customHeight="1" x14ac:dyDescent="0.2">
      <c r="A31" s="5" t="s">
        <v>18</v>
      </c>
      <c r="B31">
        <v>0</v>
      </c>
      <c r="C31" s="7">
        <v>7.0000000000000007E-2</v>
      </c>
      <c r="D31" s="7">
        <v>0</v>
      </c>
      <c r="E31" s="123"/>
    </row>
    <row r="32" spans="1:7" ht="29.25" customHeight="1" x14ac:dyDescent="0.2">
      <c r="A32" s="5" t="s">
        <v>188</v>
      </c>
      <c r="B32" s="22">
        <v>0</v>
      </c>
      <c r="C32" s="7">
        <v>0.85</v>
      </c>
      <c r="D32" s="7">
        <f t="shared" ref="D32:D36" si="2">B32*C32</f>
        <v>0</v>
      </c>
      <c r="E32" s="123"/>
    </row>
    <row r="33" spans="1:7" ht="29.25" customHeight="1" x14ac:dyDescent="0.2">
      <c r="A33" s="5" t="s">
        <v>189</v>
      </c>
      <c r="B33" s="22">
        <v>0</v>
      </c>
      <c r="C33" s="7">
        <v>1.23</v>
      </c>
      <c r="D33" s="7">
        <f t="shared" si="2"/>
        <v>0</v>
      </c>
      <c r="E33" s="123"/>
    </row>
    <row r="34" spans="1:7" ht="29.25" customHeight="1" x14ac:dyDescent="0.2">
      <c r="A34" s="5" t="s">
        <v>289</v>
      </c>
      <c r="B34" s="18">
        <f>232*2</f>
        <v>464</v>
      </c>
      <c r="C34" s="7">
        <v>0.28000000000000003</v>
      </c>
      <c r="D34" s="7">
        <f t="shared" si="2"/>
        <v>129.92000000000002</v>
      </c>
      <c r="E34" s="123"/>
      <c r="F34" s="123"/>
    </row>
    <row r="35" spans="1:7" ht="29.25" customHeight="1" x14ac:dyDescent="0.2">
      <c r="A35" s="10" t="s">
        <v>19</v>
      </c>
      <c r="B35" s="19">
        <f>223*2</f>
        <v>446</v>
      </c>
      <c r="C35" s="7">
        <v>2.54</v>
      </c>
      <c r="D35" s="7">
        <f t="shared" si="2"/>
        <v>1132.8399999999999</v>
      </c>
      <c r="E35" s="163"/>
      <c r="F35" s="163"/>
      <c r="G35" s="12" t="s">
        <v>7</v>
      </c>
    </row>
    <row r="36" spans="1:7" ht="29.25" customHeight="1" x14ac:dyDescent="0.2">
      <c r="A36" s="20" t="s">
        <v>20</v>
      </c>
      <c r="B36" s="21">
        <v>0</v>
      </c>
      <c r="C36" s="7">
        <v>1.27</v>
      </c>
      <c r="D36" s="7">
        <f t="shared" si="2"/>
        <v>0</v>
      </c>
      <c r="E36" s="163"/>
      <c r="F36" s="163"/>
      <c r="G36" s="13">
        <f>SUM(D28:D38)</f>
        <v>4482.78</v>
      </c>
    </row>
    <row r="37" spans="1:7" ht="29.25" customHeight="1" x14ac:dyDescent="0.2">
      <c r="A37" s="20" t="s">
        <v>424</v>
      </c>
      <c r="B37" s="21">
        <f>232*3</f>
        <v>696</v>
      </c>
      <c r="C37" s="7">
        <v>2.54</v>
      </c>
      <c r="D37" s="7">
        <f>B38*C37</f>
        <v>2651.76</v>
      </c>
      <c r="E37" s="123"/>
      <c r="F37" s="124"/>
    </row>
    <row r="38" spans="1:7" ht="29.25" customHeight="1" x14ac:dyDescent="0.2">
      <c r="A38" s="20" t="s">
        <v>425</v>
      </c>
      <c r="B38" s="21">
        <f>232*4.5</f>
        <v>1044</v>
      </c>
      <c r="C38" s="7">
        <v>0.27</v>
      </c>
      <c r="D38" s="7">
        <f>B38*C38</f>
        <v>281.88</v>
      </c>
      <c r="E38" s="123"/>
      <c r="F38" s="124"/>
    </row>
    <row r="39" spans="1:7" ht="29.25" customHeight="1" x14ac:dyDescent="0.2">
      <c r="A39" s="14"/>
      <c r="B39" s="25"/>
    </row>
    <row r="40" spans="1:7" ht="29.25" customHeight="1" x14ac:dyDescent="0.2">
      <c r="A40" s="16" t="s">
        <v>21</v>
      </c>
      <c r="B40" s="17"/>
      <c r="C40" s="3" t="s">
        <v>2</v>
      </c>
      <c r="D40" s="3" t="s">
        <v>3</v>
      </c>
      <c r="E40" s="162"/>
    </row>
    <row r="41" spans="1:7" ht="29.25" customHeight="1" x14ac:dyDescent="0.2">
      <c r="A41" s="23" t="s">
        <v>22</v>
      </c>
      <c r="B41" s="18">
        <f>4.5*50+16*50+5000</f>
        <v>6025</v>
      </c>
      <c r="C41" s="7">
        <v>0.11</v>
      </c>
      <c r="D41" s="7">
        <f t="shared" ref="D41:D46" si="3">B41*C41</f>
        <v>662.75</v>
      </c>
      <c r="E41" s="123"/>
    </row>
    <row r="42" spans="1:7" ht="29.25" customHeight="1" x14ac:dyDescent="0.2">
      <c r="A42" s="23" t="s">
        <v>23</v>
      </c>
      <c r="B42" s="18">
        <v>20000</v>
      </c>
      <c r="C42" s="7">
        <v>0.11</v>
      </c>
      <c r="D42" s="7">
        <f t="shared" si="3"/>
        <v>2200</v>
      </c>
      <c r="E42" s="123"/>
    </row>
    <row r="43" spans="1:7" ht="29.25" customHeight="1" x14ac:dyDescent="0.2">
      <c r="A43" s="23" t="s">
        <v>426</v>
      </c>
      <c r="B43" s="18">
        <f>5000+2500+240</f>
        <v>7740</v>
      </c>
      <c r="C43" s="7">
        <v>0.11</v>
      </c>
      <c r="D43" s="7">
        <f t="shared" si="3"/>
        <v>851.4</v>
      </c>
      <c r="E43" s="123"/>
    </row>
    <row r="44" spans="1:7" ht="29.25" customHeight="1" x14ac:dyDescent="0.2">
      <c r="A44" s="23" t="s">
        <v>427</v>
      </c>
      <c r="B44" s="18">
        <v>50000</v>
      </c>
      <c r="C44" s="7">
        <v>0.02</v>
      </c>
      <c r="D44" s="7">
        <f t="shared" si="3"/>
        <v>1000</v>
      </c>
      <c r="E44" s="123"/>
    </row>
    <row r="45" spans="1:7" ht="29.25" customHeight="1" x14ac:dyDescent="0.2">
      <c r="A45" s="5"/>
      <c r="B45" s="18"/>
      <c r="C45" s="7"/>
      <c r="D45" s="7"/>
      <c r="E45" s="163"/>
      <c r="F45" s="163"/>
      <c r="G45" s="12" t="s">
        <v>7</v>
      </c>
    </row>
    <row r="46" spans="1:7" ht="29.25" customHeight="1" x14ac:dyDescent="0.2">
      <c r="A46" s="10" t="s">
        <v>24</v>
      </c>
      <c r="B46" s="19">
        <f>1338+159+400*2+4000+2000+680</f>
        <v>8977</v>
      </c>
      <c r="C46" s="7">
        <v>0.02</v>
      </c>
      <c r="D46" s="7">
        <f t="shared" si="3"/>
        <v>179.54</v>
      </c>
      <c r="E46" s="163"/>
      <c r="F46" s="163"/>
      <c r="G46" s="13">
        <f>SUM(D41:D46)</f>
        <v>4893.6899999999996</v>
      </c>
    </row>
    <row r="47" spans="1:7" ht="29.25" customHeight="1" x14ac:dyDescent="0.2"/>
    <row r="48" spans="1:7" ht="29.25" customHeight="1" x14ac:dyDescent="0.2">
      <c r="A48" s="14"/>
      <c r="B48" s="25"/>
      <c r="C48" s="25"/>
      <c r="D48" s="25"/>
      <c r="E48" s="25"/>
      <c r="F48" s="25"/>
    </row>
    <row r="49" spans="1:8" ht="29.25" customHeight="1" x14ac:dyDescent="0.2">
      <c r="A49" s="1" t="s">
        <v>25</v>
      </c>
      <c r="B49" s="26"/>
      <c r="C49" s="3" t="s">
        <v>2</v>
      </c>
      <c r="D49" s="3" t="s">
        <v>3</v>
      </c>
      <c r="E49" s="162"/>
    </row>
    <row r="50" spans="1:8" ht="29.25" customHeight="1" x14ac:dyDescent="0.2">
      <c r="A50" s="5" t="s">
        <v>26</v>
      </c>
      <c r="B50" s="18">
        <v>134</v>
      </c>
      <c r="C50" s="7">
        <v>5.8</v>
      </c>
      <c r="D50" s="7">
        <f>B50*C50</f>
        <v>777.19999999999993</v>
      </c>
      <c r="E50" s="163"/>
      <c r="F50" s="163"/>
      <c r="G50" s="12" t="s">
        <v>7</v>
      </c>
    </row>
    <row r="51" spans="1:8" ht="29.25" customHeight="1" x14ac:dyDescent="0.2">
      <c r="A51" s="10" t="s">
        <v>27</v>
      </c>
      <c r="B51" s="19">
        <v>134</v>
      </c>
      <c r="C51" s="7">
        <v>8.84</v>
      </c>
      <c r="D51" s="7">
        <f>B51*C51</f>
        <v>1184.56</v>
      </c>
      <c r="E51" s="163"/>
      <c r="F51" s="163"/>
      <c r="G51" s="13">
        <f>SUM(D50:D51)</f>
        <v>1961.7599999999998</v>
      </c>
    </row>
    <row r="52" spans="1:8" ht="29.25" customHeight="1" x14ac:dyDescent="0.2"/>
    <row r="53" spans="1:8" ht="29.25" customHeight="1" x14ac:dyDescent="0.2">
      <c r="A53" s="166" t="s">
        <v>28</v>
      </c>
      <c r="B53" s="167"/>
      <c r="C53" s="3" t="s">
        <v>2</v>
      </c>
      <c r="D53" s="3" t="s">
        <v>3</v>
      </c>
      <c r="E53" s="162"/>
    </row>
    <row r="54" spans="1:8" ht="29.25" customHeight="1" x14ac:dyDescent="0.2">
      <c r="A54" s="5" t="s">
        <v>428</v>
      </c>
      <c r="B54" s="22">
        <f>1800*9+3800</f>
        <v>20000</v>
      </c>
      <c r="C54" s="7">
        <v>0.08</v>
      </c>
      <c r="D54" s="7">
        <f>B54*C54</f>
        <v>1600</v>
      </c>
      <c r="E54" s="123"/>
      <c r="H54" s="124"/>
    </row>
    <row r="55" spans="1:8" ht="29.25" customHeight="1" x14ac:dyDescent="0.2">
      <c r="A55" s="85" t="s">
        <v>429</v>
      </c>
      <c r="B55" s="161">
        <v>20000</v>
      </c>
      <c r="C55" s="7">
        <v>0.08</v>
      </c>
      <c r="D55" s="7">
        <f t="shared" ref="D55:D59" si="4">B55*C55</f>
        <v>1600</v>
      </c>
      <c r="E55" s="123"/>
      <c r="H55" s="124"/>
    </row>
    <row r="56" spans="1:8" ht="29.25" customHeight="1" x14ac:dyDescent="0.2">
      <c r="A56" s="85" t="s">
        <v>430</v>
      </c>
      <c r="B56" s="161">
        <v>8000</v>
      </c>
      <c r="C56" s="7">
        <v>0.08</v>
      </c>
      <c r="D56" s="7">
        <f t="shared" si="4"/>
        <v>640</v>
      </c>
      <c r="E56" s="123"/>
      <c r="H56" s="124"/>
    </row>
    <row r="57" spans="1:8" ht="29.25" customHeight="1" x14ac:dyDescent="0.2">
      <c r="A57" s="85" t="s">
        <v>431</v>
      </c>
      <c r="B57" s="161">
        <v>2500</v>
      </c>
      <c r="C57" s="180">
        <f>C58</f>
        <v>8.7480000000000002E-2</v>
      </c>
      <c r="D57" s="7">
        <f t="shared" si="4"/>
        <v>218.70000000000002</v>
      </c>
      <c r="E57" s="123"/>
      <c r="H57" s="124"/>
    </row>
    <row r="58" spans="1:8" ht="29.25" customHeight="1" x14ac:dyDescent="0.2">
      <c r="A58" s="85" t="s">
        <v>432</v>
      </c>
      <c r="B58" s="161">
        <v>3000</v>
      </c>
      <c r="C58" s="180">
        <f>87.48/1000</f>
        <v>8.7480000000000002E-2</v>
      </c>
      <c r="D58" s="7">
        <f t="shared" si="4"/>
        <v>262.44</v>
      </c>
      <c r="E58" s="123"/>
      <c r="H58" s="124"/>
    </row>
    <row r="59" spans="1:8" ht="29.25" customHeight="1" x14ac:dyDescent="0.2">
      <c r="A59" s="85" t="s">
        <v>433</v>
      </c>
      <c r="B59" s="161">
        <f>5400*7+500</f>
        <v>38300</v>
      </c>
      <c r="C59" s="7">
        <v>0.08</v>
      </c>
      <c r="D59" s="7">
        <f t="shared" si="4"/>
        <v>3064</v>
      </c>
      <c r="E59" s="123"/>
      <c r="H59" s="124"/>
    </row>
    <row r="60" spans="1:8" ht="29.25" customHeight="1" x14ac:dyDescent="0.2">
      <c r="A60" s="10" t="s">
        <v>434</v>
      </c>
      <c r="B60" s="19">
        <f>2500*3*5+1000</f>
        <v>38500</v>
      </c>
      <c r="C60" s="7">
        <v>0.08</v>
      </c>
      <c r="D60" s="7">
        <f t="shared" ref="D60:D97" si="5">B60*C60</f>
        <v>3080</v>
      </c>
      <c r="E60" s="123"/>
      <c r="H60" s="124"/>
    </row>
    <row r="61" spans="1:8" ht="29.25" customHeight="1" x14ac:dyDescent="0.2">
      <c r="A61" s="20" t="s">
        <v>435</v>
      </c>
      <c r="B61" s="21">
        <v>7500</v>
      </c>
      <c r="C61" s="7">
        <v>0.08</v>
      </c>
      <c r="D61" s="7">
        <f t="shared" si="5"/>
        <v>600</v>
      </c>
      <c r="E61" s="123"/>
      <c r="H61" s="124"/>
    </row>
    <row r="62" spans="1:8" ht="29.25" customHeight="1" x14ac:dyDescent="0.2">
      <c r="A62" s="20" t="s">
        <v>436</v>
      </c>
      <c r="B62" s="21">
        <v>8000</v>
      </c>
      <c r="C62" s="7">
        <v>0.08</v>
      </c>
      <c r="D62" s="7">
        <f t="shared" si="5"/>
        <v>640</v>
      </c>
      <c r="E62" s="123"/>
      <c r="H62" s="124"/>
    </row>
    <row r="63" spans="1:8" ht="29.25" customHeight="1" x14ac:dyDescent="0.2">
      <c r="A63" s="20" t="s">
        <v>304</v>
      </c>
      <c r="B63" s="21">
        <f>5*1800+1100</f>
        <v>10100</v>
      </c>
      <c r="C63" s="7">
        <v>0.08</v>
      </c>
      <c r="D63" s="7">
        <f t="shared" si="5"/>
        <v>808</v>
      </c>
      <c r="E63" s="123"/>
      <c r="H63" s="124"/>
    </row>
    <row r="64" spans="1:8" ht="29.25" customHeight="1" x14ac:dyDescent="0.2">
      <c r="A64" s="20" t="s">
        <v>260</v>
      </c>
      <c r="B64" s="21">
        <v>2500</v>
      </c>
      <c r="C64" s="7">
        <v>0.08</v>
      </c>
      <c r="D64" s="7">
        <f t="shared" si="5"/>
        <v>200</v>
      </c>
      <c r="E64" s="123"/>
      <c r="H64" s="124"/>
    </row>
    <row r="65" spans="1:8" ht="29.25" customHeight="1" x14ac:dyDescent="0.2">
      <c r="A65" s="20" t="s">
        <v>437</v>
      </c>
      <c r="B65" s="21">
        <v>6000</v>
      </c>
      <c r="C65" s="7">
        <v>0.08</v>
      </c>
      <c r="D65" s="7">
        <f t="shared" si="5"/>
        <v>480</v>
      </c>
      <c r="E65" s="123"/>
      <c r="H65" s="124"/>
    </row>
    <row r="66" spans="1:8" ht="29.25" customHeight="1" x14ac:dyDescent="0.2">
      <c r="A66" s="20" t="s">
        <v>438</v>
      </c>
      <c r="B66" s="21">
        <f>3*2500+500</f>
        <v>8000</v>
      </c>
      <c r="C66" s="180">
        <f>+(119.95/1000)+(120+240+155)/10000</f>
        <v>0.17144999999999999</v>
      </c>
      <c r="D66" s="7">
        <f t="shared" si="5"/>
        <v>1371.6</v>
      </c>
      <c r="E66" s="123"/>
      <c r="H66" s="124"/>
    </row>
    <row r="67" spans="1:8" ht="29.25" customHeight="1" x14ac:dyDescent="0.2">
      <c r="A67" s="20" t="s">
        <v>439</v>
      </c>
      <c r="B67" s="21">
        <v>8000</v>
      </c>
      <c r="C67" s="180">
        <f>493.6/1000</f>
        <v>0.49360000000000004</v>
      </c>
      <c r="D67" s="7">
        <f t="shared" si="5"/>
        <v>3948.8</v>
      </c>
      <c r="E67" s="123"/>
      <c r="H67" s="124"/>
    </row>
    <row r="68" spans="1:8" ht="29.25" customHeight="1" x14ac:dyDescent="0.2">
      <c r="A68" s="20" t="s">
        <v>440</v>
      </c>
      <c r="B68" s="21">
        <v>2500</v>
      </c>
      <c r="C68" s="7">
        <v>0.08</v>
      </c>
      <c r="D68" s="7">
        <f t="shared" si="5"/>
        <v>200</v>
      </c>
      <c r="E68" s="123"/>
      <c r="H68" s="124"/>
    </row>
    <row r="69" spans="1:8" ht="29.25" customHeight="1" x14ac:dyDescent="0.2">
      <c r="A69" s="20" t="s">
        <v>441</v>
      </c>
      <c r="B69" s="21">
        <v>2500</v>
      </c>
      <c r="C69" s="7">
        <v>0.08</v>
      </c>
      <c r="D69" s="7">
        <f t="shared" si="5"/>
        <v>200</v>
      </c>
      <c r="E69" s="123"/>
      <c r="H69" s="124"/>
    </row>
    <row r="70" spans="1:8" ht="29.25" customHeight="1" x14ac:dyDescent="0.2">
      <c r="A70" s="20" t="s">
        <v>325</v>
      </c>
      <c r="B70" s="21">
        <v>8000</v>
      </c>
      <c r="C70" s="7">
        <v>0.08</v>
      </c>
      <c r="D70" s="7">
        <f t="shared" si="5"/>
        <v>640</v>
      </c>
      <c r="E70" s="123"/>
      <c r="H70" s="124"/>
    </row>
    <row r="71" spans="1:8" ht="29.25" customHeight="1" x14ac:dyDescent="0.2">
      <c r="A71" s="20" t="s">
        <v>442</v>
      </c>
      <c r="B71" s="21">
        <v>9000</v>
      </c>
      <c r="C71" s="7">
        <v>0.08</v>
      </c>
      <c r="D71" s="7">
        <f t="shared" si="5"/>
        <v>720</v>
      </c>
      <c r="E71" s="123"/>
      <c r="H71" s="124"/>
    </row>
    <row r="72" spans="1:8" ht="29.25" customHeight="1" x14ac:dyDescent="0.2">
      <c r="A72" s="20" t="s">
        <v>443</v>
      </c>
      <c r="B72" s="21">
        <f>2500*3</f>
        <v>7500</v>
      </c>
      <c r="C72" s="7">
        <v>0.08</v>
      </c>
      <c r="D72" s="7">
        <f t="shared" si="5"/>
        <v>600</v>
      </c>
      <c r="E72" s="123"/>
      <c r="H72" s="124"/>
    </row>
    <row r="73" spans="1:8" ht="29.25" customHeight="1" x14ac:dyDescent="0.2">
      <c r="A73" s="20" t="s">
        <v>29</v>
      </c>
      <c r="B73" s="21">
        <f>3000+12000</f>
        <v>15000</v>
      </c>
      <c r="C73" s="7">
        <v>0.08</v>
      </c>
      <c r="D73" s="7">
        <f t="shared" si="5"/>
        <v>1200</v>
      </c>
      <c r="E73" s="123"/>
      <c r="H73" s="25"/>
    </row>
    <row r="74" spans="1:8" ht="29.25" customHeight="1" x14ac:dyDescent="0.2">
      <c r="A74" s="20" t="s">
        <v>319</v>
      </c>
      <c r="B74" s="27">
        <f>1500*5+1000+6000</f>
        <v>14500</v>
      </c>
      <c r="C74" s="7">
        <v>0.08</v>
      </c>
      <c r="D74" s="7">
        <f t="shared" si="5"/>
        <v>1160</v>
      </c>
      <c r="E74" s="123"/>
      <c r="H74" s="124"/>
    </row>
    <row r="75" spans="1:8" ht="29.25" customHeight="1" x14ac:dyDescent="0.2">
      <c r="A75" s="20" t="s">
        <v>320</v>
      </c>
      <c r="B75" s="27">
        <f>1500+2000</f>
        <v>3500</v>
      </c>
      <c r="C75" s="180">
        <f>C76</f>
        <v>0.12608</v>
      </c>
      <c r="D75" s="7">
        <f>B75*C75</f>
        <v>441.28</v>
      </c>
      <c r="E75" s="123"/>
      <c r="H75" s="124"/>
    </row>
    <row r="76" spans="1:8" ht="29.25" customHeight="1" x14ac:dyDescent="0.2">
      <c r="A76" s="20" t="s">
        <v>261</v>
      </c>
      <c r="B76" s="21">
        <v>2000</v>
      </c>
      <c r="C76" s="180">
        <f>126.08/1000</f>
        <v>0.12608</v>
      </c>
      <c r="D76" s="7">
        <f>B76*C76</f>
        <v>252.16</v>
      </c>
      <c r="E76" s="123"/>
      <c r="H76" s="124"/>
    </row>
    <row r="77" spans="1:8" ht="29.25" customHeight="1" x14ac:dyDescent="0.2">
      <c r="A77" s="20" t="s">
        <v>264</v>
      </c>
      <c r="B77" s="27">
        <f>1500*4</f>
        <v>6000</v>
      </c>
      <c r="C77" s="7">
        <v>0.08</v>
      </c>
      <c r="D77" s="7">
        <f t="shared" si="5"/>
        <v>480</v>
      </c>
      <c r="E77" s="123"/>
    </row>
    <row r="78" spans="1:8" ht="29.25" customHeight="1" x14ac:dyDescent="0.2">
      <c r="A78" s="20" t="s">
        <v>321</v>
      </c>
      <c r="B78" s="21">
        <v>4000</v>
      </c>
      <c r="C78" s="7">
        <v>0.08</v>
      </c>
      <c r="D78" s="7">
        <f>B78*C78</f>
        <v>320</v>
      </c>
      <c r="E78" s="123"/>
      <c r="H78" s="124"/>
    </row>
    <row r="79" spans="1:8" ht="29.25" customHeight="1" x14ac:dyDescent="0.2">
      <c r="A79" s="20" t="s">
        <v>322</v>
      </c>
      <c r="B79" s="21">
        <v>7500</v>
      </c>
      <c r="C79" s="7">
        <v>0.08</v>
      </c>
      <c r="D79" s="7">
        <f>B79*C79</f>
        <v>600</v>
      </c>
      <c r="E79" s="123"/>
      <c r="H79" s="124"/>
    </row>
    <row r="80" spans="1:8" ht="29.25" customHeight="1" x14ac:dyDescent="0.2">
      <c r="A80" s="20" t="s">
        <v>265</v>
      </c>
      <c r="B80" s="27">
        <v>11000</v>
      </c>
      <c r="C80" s="7">
        <v>0.08</v>
      </c>
      <c r="D80" s="7">
        <f t="shared" si="5"/>
        <v>880</v>
      </c>
      <c r="E80" s="123"/>
    </row>
    <row r="81" spans="1:8" ht="29.25" customHeight="1" x14ac:dyDescent="0.2">
      <c r="A81" s="20" t="s">
        <v>323</v>
      </c>
      <c r="B81" s="21">
        <v>10000</v>
      </c>
      <c r="C81" s="7">
        <v>0.08</v>
      </c>
      <c r="D81" s="7">
        <f>B81*C81</f>
        <v>800</v>
      </c>
      <c r="E81" s="123"/>
      <c r="H81" s="124"/>
    </row>
    <row r="82" spans="1:8" ht="29.25" customHeight="1" x14ac:dyDescent="0.2">
      <c r="A82" s="20" t="s">
        <v>262</v>
      </c>
      <c r="B82" s="27">
        <v>12000</v>
      </c>
      <c r="C82" s="7">
        <v>0.08</v>
      </c>
      <c r="D82" s="7">
        <f>B82*C82</f>
        <v>960</v>
      </c>
      <c r="E82" s="123"/>
    </row>
    <row r="83" spans="1:8" ht="29.25" customHeight="1" x14ac:dyDescent="0.2">
      <c r="A83" s="20" t="s">
        <v>324</v>
      </c>
      <c r="B83" s="21">
        <v>4000</v>
      </c>
      <c r="C83" s="7">
        <v>0.08</v>
      </c>
      <c r="D83" s="7">
        <f>B83*C83</f>
        <v>320</v>
      </c>
      <c r="E83" s="123"/>
      <c r="H83" s="124"/>
    </row>
    <row r="84" spans="1:8" ht="29.25" customHeight="1" x14ac:dyDescent="0.2">
      <c r="A84" s="20" t="s">
        <v>263</v>
      </c>
      <c r="B84" s="27">
        <v>5000</v>
      </c>
      <c r="C84" s="7">
        <v>0.08</v>
      </c>
      <c r="D84" s="7">
        <f>B84*C84</f>
        <v>400</v>
      </c>
      <c r="E84" s="123"/>
    </row>
    <row r="85" spans="1:8" ht="29.25" customHeight="1" x14ac:dyDescent="0.2">
      <c r="A85" s="20" t="s">
        <v>269</v>
      </c>
      <c r="B85" s="27">
        <v>11000</v>
      </c>
      <c r="C85" s="7">
        <v>0.08</v>
      </c>
      <c r="D85" s="7">
        <f t="shared" si="5"/>
        <v>880</v>
      </c>
      <c r="E85" s="123"/>
    </row>
    <row r="86" spans="1:8" ht="29.25" customHeight="1" x14ac:dyDescent="0.2">
      <c r="A86" s="20" t="s">
        <v>267</v>
      </c>
      <c r="B86" s="27">
        <v>2000</v>
      </c>
      <c r="C86" s="7">
        <v>0.08</v>
      </c>
      <c r="D86" s="7">
        <f>B86*C86</f>
        <v>160</v>
      </c>
      <c r="E86" s="123"/>
    </row>
    <row r="87" spans="1:8" ht="29.25" customHeight="1" x14ac:dyDescent="0.2">
      <c r="A87" s="20" t="s">
        <v>266</v>
      </c>
      <c r="B87" s="27">
        <v>5000</v>
      </c>
      <c r="C87" s="7">
        <v>0.08</v>
      </c>
      <c r="D87" s="7">
        <f t="shared" si="5"/>
        <v>400</v>
      </c>
      <c r="E87" s="123"/>
    </row>
    <row r="88" spans="1:8" ht="29.25" customHeight="1" x14ac:dyDescent="0.2">
      <c r="A88" s="20" t="s">
        <v>290</v>
      </c>
      <c r="B88" s="27">
        <f>3000+6000</f>
        <v>9000</v>
      </c>
      <c r="C88" s="7">
        <v>0.08</v>
      </c>
      <c r="D88" s="7">
        <f>B88*C88</f>
        <v>720</v>
      </c>
      <c r="E88" s="123"/>
    </row>
    <row r="89" spans="1:8" ht="29.25" customHeight="1" x14ac:dyDescent="0.2">
      <c r="A89" s="20" t="s">
        <v>268</v>
      </c>
      <c r="B89" s="27">
        <v>11000</v>
      </c>
      <c r="C89" s="7">
        <v>0.08</v>
      </c>
      <c r="D89" s="7">
        <f t="shared" si="5"/>
        <v>880</v>
      </c>
      <c r="E89" s="123"/>
    </row>
    <row r="90" spans="1:8" ht="29.25" customHeight="1" x14ac:dyDescent="0.2">
      <c r="A90" s="20" t="s">
        <v>30</v>
      </c>
      <c r="B90" s="27">
        <v>7000</v>
      </c>
      <c r="C90" s="7">
        <v>0.04</v>
      </c>
      <c r="D90" s="7">
        <f t="shared" si="5"/>
        <v>280</v>
      </c>
      <c r="E90" s="123"/>
    </row>
    <row r="91" spans="1:8" ht="29.25" customHeight="1" x14ac:dyDescent="0.2">
      <c r="A91" s="20" t="s">
        <v>270</v>
      </c>
      <c r="B91" s="27">
        <v>6500</v>
      </c>
      <c r="C91" s="7">
        <v>0.04</v>
      </c>
      <c r="D91" s="7">
        <f t="shared" si="5"/>
        <v>260</v>
      </c>
      <c r="E91" s="123"/>
    </row>
    <row r="92" spans="1:8" ht="29.25" customHeight="1" x14ac:dyDescent="0.2">
      <c r="A92" s="20" t="s">
        <v>271</v>
      </c>
      <c r="B92" s="27">
        <v>1500</v>
      </c>
      <c r="C92" s="7">
        <v>0.04</v>
      </c>
      <c r="D92" s="7">
        <f t="shared" si="5"/>
        <v>60</v>
      </c>
      <c r="E92" s="123"/>
    </row>
    <row r="93" spans="1:8" ht="29.25" customHeight="1" x14ac:dyDescent="0.2">
      <c r="A93" s="20" t="s">
        <v>272</v>
      </c>
      <c r="B93" s="27">
        <v>2500</v>
      </c>
      <c r="C93" s="7">
        <v>0.04</v>
      </c>
      <c r="D93" s="7">
        <f t="shared" si="5"/>
        <v>100</v>
      </c>
      <c r="E93" s="123"/>
    </row>
    <row r="94" spans="1:8" ht="29.25" customHeight="1" x14ac:dyDescent="0.2">
      <c r="A94" s="20" t="s">
        <v>31</v>
      </c>
      <c r="B94" s="27">
        <v>20000</v>
      </c>
      <c r="C94" s="7">
        <v>0.04</v>
      </c>
      <c r="D94" s="7">
        <f t="shared" si="5"/>
        <v>800</v>
      </c>
      <c r="E94" s="123"/>
    </row>
    <row r="95" spans="1:8" ht="29.25" customHeight="1" x14ac:dyDescent="0.2">
      <c r="A95" s="20" t="s">
        <v>32</v>
      </c>
      <c r="B95" s="27">
        <v>2500</v>
      </c>
      <c r="C95" s="7">
        <v>0.04</v>
      </c>
      <c r="D95" s="7">
        <f t="shared" si="5"/>
        <v>100</v>
      </c>
      <c r="E95" s="123"/>
    </row>
    <row r="96" spans="1:8" ht="29.25" customHeight="1" x14ac:dyDescent="0.2">
      <c r="A96" s="20" t="s">
        <v>327</v>
      </c>
      <c r="B96" s="21">
        <v>11000</v>
      </c>
      <c r="C96" s="7">
        <v>0.01</v>
      </c>
      <c r="D96" s="7">
        <f t="shared" si="5"/>
        <v>110</v>
      </c>
      <c r="E96" s="163"/>
      <c r="F96" s="163"/>
      <c r="G96" s="12" t="s">
        <v>7</v>
      </c>
    </row>
    <row r="97" spans="1:7" ht="29.25" customHeight="1" x14ac:dyDescent="0.2">
      <c r="A97" s="20" t="s">
        <v>326</v>
      </c>
      <c r="B97" s="21">
        <v>10000</v>
      </c>
      <c r="C97" s="7">
        <v>0.04</v>
      </c>
      <c r="D97" s="7">
        <f t="shared" si="5"/>
        <v>400</v>
      </c>
      <c r="E97" s="163"/>
      <c r="F97" s="163"/>
      <c r="G97" s="13">
        <f>SUM(D54:D97)</f>
        <v>33836.979999999996</v>
      </c>
    </row>
    <row r="98" spans="1:7" ht="29.25" customHeight="1" x14ac:dyDescent="0.2">
      <c r="A98" s="14"/>
      <c r="B98" s="25"/>
      <c r="C98" s="123"/>
      <c r="D98" s="123"/>
      <c r="E98" s="123"/>
      <c r="F98" s="124"/>
    </row>
    <row r="99" spans="1:7" ht="29.25" customHeight="1" x14ac:dyDescent="0.2">
      <c r="A99" s="14"/>
      <c r="B99" s="25"/>
      <c r="C99" s="28"/>
    </row>
    <row r="100" spans="1:7" ht="29.25" customHeight="1" x14ac:dyDescent="0.2">
      <c r="A100" s="16" t="s">
        <v>33</v>
      </c>
      <c r="B100" s="17"/>
      <c r="C100" s="3" t="s">
        <v>2</v>
      </c>
      <c r="D100" s="3" t="s">
        <v>3</v>
      </c>
      <c r="E100" s="162"/>
    </row>
    <row r="101" spans="1:7" ht="29.25" customHeight="1" x14ac:dyDescent="0.2">
      <c r="A101" s="85" t="s">
        <v>190</v>
      </c>
      <c r="B101" s="24">
        <v>1000</v>
      </c>
      <c r="C101" s="7">
        <v>7.0000000000000007E-2</v>
      </c>
      <c r="D101" s="7">
        <f>B101*C101</f>
        <v>70</v>
      </c>
      <c r="E101" s="123"/>
    </row>
    <row r="102" spans="1:7" ht="29.25" customHeight="1" x14ac:dyDescent="0.2">
      <c r="A102" s="85" t="s">
        <v>329</v>
      </c>
      <c r="B102" s="24">
        <v>14000</v>
      </c>
      <c r="C102" s="7">
        <v>7.0000000000000007E-2</v>
      </c>
      <c r="D102" s="7">
        <f>B102*C102</f>
        <v>980.00000000000011</v>
      </c>
      <c r="E102" s="123"/>
    </row>
    <row r="103" spans="1:7" ht="29.25" customHeight="1" x14ac:dyDescent="0.2">
      <c r="A103" s="85" t="s">
        <v>294</v>
      </c>
      <c r="B103" s="24">
        <v>35000</v>
      </c>
      <c r="C103" s="7">
        <v>6.4000000000000001E-2</v>
      </c>
      <c r="D103" s="7">
        <f>B103*C103</f>
        <v>2240</v>
      </c>
      <c r="E103" s="163"/>
      <c r="F103" s="163"/>
      <c r="G103" s="12" t="s">
        <v>7</v>
      </c>
    </row>
    <row r="104" spans="1:7" ht="29.25" customHeight="1" x14ac:dyDescent="0.2">
      <c r="A104" s="85" t="s">
        <v>208</v>
      </c>
      <c r="B104" s="24">
        <v>8000</v>
      </c>
      <c r="C104" s="116">
        <f>22.65/1000</f>
        <v>2.265E-2</v>
      </c>
      <c r="D104" s="7">
        <f>B104*C104</f>
        <v>181.2</v>
      </c>
      <c r="E104" s="123"/>
    </row>
    <row r="105" spans="1:7" ht="29.25" customHeight="1" x14ac:dyDescent="0.2">
      <c r="A105" s="85" t="s">
        <v>291</v>
      </c>
      <c r="B105" s="24">
        <v>52000</v>
      </c>
      <c r="C105" s="116">
        <v>0.03</v>
      </c>
      <c r="D105" s="7">
        <f t="shared" ref="D105:D116" si="6">B105*C105</f>
        <v>1560</v>
      </c>
      <c r="E105" s="123"/>
      <c r="F105" t="s">
        <v>211</v>
      </c>
    </row>
    <row r="106" spans="1:7" ht="29.25" customHeight="1" x14ac:dyDescent="0.2">
      <c r="A106" s="85" t="s">
        <v>292</v>
      </c>
      <c r="B106" s="24">
        <v>20000</v>
      </c>
      <c r="C106" s="116">
        <v>0.03</v>
      </c>
      <c r="D106" s="7">
        <f t="shared" si="6"/>
        <v>600</v>
      </c>
      <c r="E106" s="123"/>
    </row>
    <row r="107" spans="1:7" ht="29.25" customHeight="1" x14ac:dyDescent="0.2">
      <c r="A107" s="85" t="s">
        <v>206</v>
      </c>
      <c r="B107" s="24">
        <f>3000+15000</f>
        <v>18000</v>
      </c>
      <c r="C107" s="116">
        <v>2.8000000000000001E-2</v>
      </c>
      <c r="D107" s="7">
        <f t="shared" si="6"/>
        <v>504</v>
      </c>
      <c r="E107" s="123"/>
    </row>
    <row r="108" spans="1:7" ht="29.25" customHeight="1" x14ac:dyDescent="0.2">
      <c r="A108" s="85" t="s">
        <v>293</v>
      </c>
      <c r="B108" s="24">
        <v>20000</v>
      </c>
      <c r="C108" s="7">
        <v>7.0000000000000007E-2</v>
      </c>
      <c r="D108" s="7">
        <f>B108*C108</f>
        <v>1400.0000000000002</v>
      </c>
      <c r="E108" s="123"/>
      <c r="F108" t="s">
        <v>212</v>
      </c>
    </row>
    <row r="109" spans="1:7" ht="29.25" customHeight="1" x14ac:dyDescent="0.2">
      <c r="A109" s="85" t="s">
        <v>445</v>
      </c>
      <c r="B109" s="24">
        <v>15000</v>
      </c>
      <c r="C109" s="7">
        <v>7.0000000000000007E-2</v>
      </c>
      <c r="D109" s="7">
        <f t="shared" si="6"/>
        <v>1050</v>
      </c>
      <c r="E109" s="123"/>
    </row>
    <row r="110" spans="1:7" ht="29.25" customHeight="1" x14ac:dyDescent="0.2">
      <c r="A110" s="85" t="s">
        <v>191</v>
      </c>
      <c r="B110" s="24">
        <v>3600</v>
      </c>
      <c r="C110" s="7">
        <v>6.8000000000000005E-2</v>
      </c>
      <c r="D110" s="7">
        <f>B110*C110</f>
        <v>244.8</v>
      </c>
      <c r="E110" s="123"/>
    </row>
    <row r="111" spans="1:7" ht="29.25" customHeight="1" x14ac:dyDescent="0.2">
      <c r="A111" s="85" t="s">
        <v>328</v>
      </c>
      <c r="B111" s="24">
        <v>400</v>
      </c>
      <c r="C111" s="7">
        <v>0.06</v>
      </c>
      <c r="D111" s="7">
        <f t="shared" si="6"/>
        <v>24</v>
      </c>
      <c r="E111" s="123"/>
    </row>
    <row r="112" spans="1:7" ht="29.25" customHeight="1" x14ac:dyDescent="0.2">
      <c r="A112" s="85" t="s">
        <v>207</v>
      </c>
      <c r="B112" s="24">
        <v>350</v>
      </c>
      <c r="C112" s="7">
        <v>5.6000000000000001E-2</v>
      </c>
      <c r="D112" s="7">
        <f t="shared" si="6"/>
        <v>19.600000000000001</v>
      </c>
      <c r="E112" s="123"/>
    </row>
    <row r="113" spans="1:7" ht="29.25" customHeight="1" x14ac:dyDescent="0.2">
      <c r="A113" s="85" t="s">
        <v>273</v>
      </c>
      <c r="B113" s="24">
        <f>10000+5200+2200</f>
        <v>17400</v>
      </c>
      <c r="C113" s="7">
        <v>5.6000000000000001E-2</v>
      </c>
      <c r="D113" s="7">
        <f t="shared" si="6"/>
        <v>974.4</v>
      </c>
      <c r="E113" s="123"/>
      <c r="F113" t="s">
        <v>213</v>
      </c>
    </row>
    <row r="114" spans="1:7" ht="29.25" customHeight="1" x14ac:dyDescent="0.2">
      <c r="A114" s="85" t="s">
        <v>444</v>
      </c>
      <c r="B114" s="24">
        <v>3700</v>
      </c>
      <c r="C114" s="7">
        <v>0.06</v>
      </c>
      <c r="D114" s="7">
        <f t="shared" si="6"/>
        <v>222</v>
      </c>
      <c r="E114" s="123"/>
    </row>
    <row r="115" spans="1:7" ht="29.25" customHeight="1" x14ac:dyDescent="0.2">
      <c r="A115" s="10" t="s">
        <v>446</v>
      </c>
      <c r="B115" s="19">
        <v>5000</v>
      </c>
      <c r="C115" s="7">
        <v>7.0000000000000007E-2</v>
      </c>
      <c r="D115" s="7">
        <f t="shared" si="6"/>
        <v>350.00000000000006</v>
      </c>
      <c r="E115" s="163"/>
      <c r="F115" s="163"/>
      <c r="G115" s="13">
        <f>SUM(D101:D116)</f>
        <v>10840</v>
      </c>
    </row>
    <row r="116" spans="1:7" ht="29.25" customHeight="1" x14ac:dyDescent="0.2">
      <c r="A116" s="20" t="s">
        <v>447</v>
      </c>
      <c r="B116" s="30">
        <v>6000</v>
      </c>
      <c r="C116" s="7">
        <v>7.0000000000000007E-2</v>
      </c>
      <c r="D116" s="7">
        <f t="shared" si="6"/>
        <v>420.00000000000006</v>
      </c>
      <c r="E116" s="123"/>
      <c r="F116" s="124"/>
    </row>
    <row r="117" spans="1:7" ht="29.25" customHeight="1" x14ac:dyDescent="0.2"/>
    <row r="118" spans="1:7" ht="29.25" customHeight="1" x14ac:dyDescent="0.2">
      <c r="A118" s="16" t="s">
        <v>34</v>
      </c>
      <c r="B118" s="17"/>
      <c r="C118" s="3" t="s">
        <v>2</v>
      </c>
      <c r="D118" s="3" t="s">
        <v>3</v>
      </c>
      <c r="E118" s="162"/>
    </row>
    <row r="119" spans="1:7" ht="29.25" customHeight="1" x14ac:dyDescent="0.2">
      <c r="A119" s="5" t="s">
        <v>192</v>
      </c>
      <c r="B119" s="18">
        <v>1</v>
      </c>
      <c r="C119" s="7">
        <v>14.82</v>
      </c>
      <c r="D119" s="7">
        <f t="shared" ref="D119:D124" si="7">B119*C119</f>
        <v>14.82</v>
      </c>
      <c r="E119" s="123"/>
    </row>
    <row r="120" spans="1:7" ht="29.25" customHeight="1" x14ac:dyDescent="0.2">
      <c r="A120" s="5" t="s">
        <v>193</v>
      </c>
      <c r="B120" s="18">
        <v>2</v>
      </c>
      <c r="C120" s="7">
        <v>87.42</v>
      </c>
      <c r="D120" s="7">
        <f t="shared" si="7"/>
        <v>174.84</v>
      </c>
      <c r="E120" s="123"/>
    </row>
    <row r="121" spans="1:7" ht="29.25" customHeight="1" x14ac:dyDescent="0.2">
      <c r="A121" s="5" t="s">
        <v>194</v>
      </c>
      <c r="B121" s="18">
        <v>4</v>
      </c>
      <c r="C121" s="7">
        <v>13.8</v>
      </c>
      <c r="D121" s="7">
        <f t="shared" si="7"/>
        <v>55.2</v>
      </c>
      <c r="E121" s="123"/>
    </row>
    <row r="122" spans="1:7" ht="29.25" customHeight="1" x14ac:dyDescent="0.2">
      <c r="A122" s="5" t="s">
        <v>274</v>
      </c>
      <c r="B122" s="18">
        <v>0</v>
      </c>
      <c r="C122" s="7"/>
      <c r="D122" s="7">
        <f t="shared" si="7"/>
        <v>0</v>
      </c>
      <c r="E122" s="123"/>
    </row>
    <row r="123" spans="1:7" ht="29.25" customHeight="1" x14ac:dyDescent="0.2">
      <c r="A123" s="5" t="s">
        <v>295</v>
      </c>
      <c r="B123" s="18">
        <v>1</v>
      </c>
      <c r="C123" s="7">
        <v>13.8</v>
      </c>
      <c r="D123" s="7">
        <f t="shared" si="7"/>
        <v>13.8</v>
      </c>
      <c r="E123" s="163"/>
      <c r="F123" s="163"/>
      <c r="G123" s="12" t="s">
        <v>7</v>
      </c>
    </row>
    <row r="124" spans="1:7" ht="29.25" customHeight="1" x14ac:dyDescent="0.2">
      <c r="A124" s="10"/>
      <c r="B124" s="19">
        <v>0</v>
      </c>
      <c r="C124" s="7"/>
      <c r="D124" s="7">
        <f t="shared" si="7"/>
        <v>0</v>
      </c>
      <c r="E124" s="163"/>
      <c r="F124" s="163"/>
      <c r="G124" s="13">
        <f>SUM(D119:D124)</f>
        <v>258.66000000000003</v>
      </c>
    </row>
    <row r="125" spans="1:7" ht="29.25" customHeight="1" x14ac:dyDescent="0.2"/>
    <row r="126" spans="1:7" ht="29.25" customHeight="1" x14ac:dyDescent="0.2">
      <c r="A126" s="16" t="s">
        <v>35</v>
      </c>
      <c r="B126" s="17"/>
      <c r="C126" s="17"/>
      <c r="D126" s="3" t="s">
        <v>2</v>
      </c>
      <c r="E126" s="3" t="s">
        <v>3</v>
      </c>
    </row>
    <row r="127" spans="1:7" ht="29.25" customHeight="1" x14ac:dyDescent="0.2">
      <c r="A127" s="5" t="s">
        <v>36</v>
      </c>
      <c r="B127" s="18">
        <v>5</v>
      </c>
      <c r="C127" s="21"/>
      <c r="D127" s="7">
        <v>3.6</v>
      </c>
      <c r="E127" s="7">
        <f>D127*B127</f>
        <v>18</v>
      </c>
    </row>
    <row r="128" spans="1:7" ht="29.25" customHeight="1" x14ac:dyDescent="0.2">
      <c r="A128" s="5" t="s">
        <v>37</v>
      </c>
      <c r="B128" s="18">
        <v>4</v>
      </c>
      <c r="C128" s="21"/>
      <c r="D128" s="7">
        <v>14.38</v>
      </c>
      <c r="E128" s="7">
        <f t="shared" ref="E128:E174" si="8">D128*B128</f>
        <v>57.52</v>
      </c>
    </row>
    <row r="129" spans="1:5" ht="29.25" customHeight="1" x14ac:dyDescent="0.2">
      <c r="A129" s="5" t="s">
        <v>178</v>
      </c>
      <c r="B129" s="18"/>
      <c r="C129" s="21"/>
      <c r="D129" s="7">
        <v>16.04</v>
      </c>
      <c r="E129" s="7">
        <f t="shared" si="8"/>
        <v>0</v>
      </c>
    </row>
    <row r="130" spans="1:5" ht="29.25" customHeight="1" x14ac:dyDescent="0.2">
      <c r="A130" s="5" t="s">
        <v>179</v>
      </c>
      <c r="B130" s="18"/>
      <c r="C130" s="21"/>
      <c r="D130" s="7">
        <v>12</v>
      </c>
      <c r="E130" s="7">
        <f t="shared" si="8"/>
        <v>0</v>
      </c>
    </row>
    <row r="131" spans="1:5" ht="29.25" customHeight="1" x14ac:dyDescent="0.2">
      <c r="A131" s="5" t="s">
        <v>38</v>
      </c>
      <c r="B131" s="18">
        <v>1</v>
      </c>
      <c r="C131" s="21" t="s">
        <v>195</v>
      </c>
      <c r="D131" s="7">
        <v>30.12</v>
      </c>
      <c r="E131" s="7">
        <f t="shared" si="8"/>
        <v>30.12</v>
      </c>
    </row>
    <row r="132" spans="1:5" ht="29.25" customHeight="1" x14ac:dyDescent="0.2">
      <c r="A132" s="5" t="s">
        <v>448</v>
      </c>
      <c r="B132" s="18">
        <v>2</v>
      </c>
      <c r="C132" s="21"/>
      <c r="D132" s="7">
        <v>20.399999999999999</v>
      </c>
      <c r="E132" s="7">
        <f t="shared" si="8"/>
        <v>40.799999999999997</v>
      </c>
    </row>
    <row r="133" spans="1:5" ht="29.25" customHeight="1" x14ac:dyDescent="0.2">
      <c r="A133" s="5" t="s">
        <v>450</v>
      </c>
      <c r="B133" s="18">
        <v>100</v>
      </c>
      <c r="C133" s="21"/>
      <c r="D133" s="7">
        <v>4.79</v>
      </c>
      <c r="E133" s="7">
        <f t="shared" si="8"/>
        <v>479</v>
      </c>
    </row>
    <row r="134" spans="1:5" ht="29.25" customHeight="1" x14ac:dyDescent="0.2">
      <c r="A134" s="5" t="s">
        <v>451</v>
      </c>
      <c r="B134" s="18">
        <v>1</v>
      </c>
      <c r="C134" s="21" t="s">
        <v>452</v>
      </c>
      <c r="D134" s="7">
        <v>4.79</v>
      </c>
      <c r="E134" s="7">
        <f t="shared" si="8"/>
        <v>4.79</v>
      </c>
    </row>
    <row r="135" spans="1:5" ht="29.25" customHeight="1" x14ac:dyDescent="0.2">
      <c r="A135" s="5" t="s">
        <v>453</v>
      </c>
      <c r="B135" s="18">
        <v>1</v>
      </c>
      <c r="C135" s="21"/>
      <c r="D135" s="7">
        <v>22.76</v>
      </c>
      <c r="E135" s="7">
        <f t="shared" si="8"/>
        <v>22.76</v>
      </c>
    </row>
    <row r="136" spans="1:5" ht="29.25" customHeight="1" x14ac:dyDescent="0.2">
      <c r="A136" s="5" t="s">
        <v>454</v>
      </c>
      <c r="B136" s="18">
        <v>1</v>
      </c>
      <c r="C136" s="21"/>
      <c r="D136" s="7">
        <v>25.91</v>
      </c>
      <c r="E136" s="7">
        <f t="shared" si="8"/>
        <v>25.91</v>
      </c>
    </row>
    <row r="137" spans="1:5" ht="29.25" customHeight="1" x14ac:dyDescent="0.2">
      <c r="A137" s="5" t="s">
        <v>39</v>
      </c>
      <c r="B137" s="18">
        <v>2</v>
      </c>
      <c r="C137" s="27" t="s">
        <v>195</v>
      </c>
      <c r="D137" s="7">
        <v>47.9</v>
      </c>
      <c r="E137" s="7">
        <f t="shared" si="8"/>
        <v>95.8</v>
      </c>
    </row>
    <row r="138" spans="1:5" ht="29.25" customHeight="1" x14ac:dyDescent="0.2">
      <c r="A138" s="5" t="s">
        <v>40</v>
      </c>
      <c r="B138" s="18">
        <v>1</v>
      </c>
      <c r="C138" s="27" t="s">
        <v>195</v>
      </c>
      <c r="D138" s="7">
        <v>53.75</v>
      </c>
      <c r="E138" s="7">
        <f t="shared" si="8"/>
        <v>53.75</v>
      </c>
    </row>
    <row r="139" spans="1:5" ht="29.25" customHeight="1" x14ac:dyDescent="0.2">
      <c r="A139" s="5" t="s">
        <v>41</v>
      </c>
      <c r="B139" s="18">
        <v>3</v>
      </c>
      <c r="C139" s="27" t="s">
        <v>195</v>
      </c>
      <c r="D139" s="7">
        <v>59.62</v>
      </c>
      <c r="E139" s="7">
        <f t="shared" si="8"/>
        <v>178.85999999999999</v>
      </c>
    </row>
    <row r="140" spans="1:5" ht="29.25" customHeight="1" x14ac:dyDescent="0.2">
      <c r="A140" s="5" t="s">
        <v>196</v>
      </c>
      <c r="B140" s="18">
        <v>2</v>
      </c>
      <c r="C140" s="27" t="s">
        <v>195</v>
      </c>
      <c r="D140" s="7">
        <v>112.45</v>
      </c>
      <c r="E140" s="7">
        <f t="shared" si="8"/>
        <v>224.9</v>
      </c>
    </row>
    <row r="141" spans="1:5" ht="29.25" customHeight="1" x14ac:dyDescent="0.2">
      <c r="A141" s="5" t="s">
        <v>42</v>
      </c>
      <c r="B141" s="29">
        <v>4</v>
      </c>
      <c r="C141" s="27"/>
      <c r="D141" s="7">
        <v>26.09</v>
      </c>
      <c r="E141" s="7">
        <f t="shared" si="8"/>
        <v>104.36</v>
      </c>
    </row>
    <row r="142" spans="1:5" ht="29.25" customHeight="1" x14ac:dyDescent="0.2">
      <c r="A142" s="10" t="s">
        <v>43</v>
      </c>
      <c r="B142" s="19">
        <v>1</v>
      </c>
      <c r="C142" s="27"/>
      <c r="D142" s="7">
        <v>46.01</v>
      </c>
      <c r="E142" s="7">
        <f t="shared" si="8"/>
        <v>46.01</v>
      </c>
    </row>
    <row r="143" spans="1:5" ht="29.25" customHeight="1" x14ac:dyDescent="0.2">
      <c r="A143" s="20" t="s">
        <v>275</v>
      </c>
      <c r="B143" s="21">
        <v>5</v>
      </c>
      <c r="C143" s="27" t="s">
        <v>276</v>
      </c>
      <c r="D143" s="7">
        <v>0</v>
      </c>
      <c r="E143" s="7">
        <f t="shared" si="8"/>
        <v>0</v>
      </c>
    </row>
    <row r="144" spans="1:5" ht="29.25" customHeight="1" x14ac:dyDescent="0.2">
      <c r="A144" s="20" t="s">
        <v>334</v>
      </c>
      <c r="B144" s="21">
        <v>4</v>
      </c>
      <c r="C144" s="27" t="s">
        <v>277</v>
      </c>
      <c r="D144" s="7">
        <v>17.559999999999999</v>
      </c>
      <c r="E144" s="7">
        <f t="shared" si="8"/>
        <v>70.239999999999995</v>
      </c>
    </row>
    <row r="145" spans="1:5" ht="29.25" customHeight="1" x14ac:dyDescent="0.2">
      <c r="A145" s="20" t="s">
        <v>278</v>
      </c>
      <c r="B145" s="21">
        <v>6</v>
      </c>
      <c r="C145" s="27" t="s">
        <v>276</v>
      </c>
      <c r="D145" s="7">
        <v>22.76</v>
      </c>
      <c r="E145" s="7">
        <f t="shared" si="8"/>
        <v>136.56</v>
      </c>
    </row>
    <row r="146" spans="1:5" ht="29.25" customHeight="1" x14ac:dyDescent="0.2">
      <c r="A146" s="20" t="s">
        <v>335</v>
      </c>
      <c r="B146" s="21">
        <v>1</v>
      </c>
      <c r="C146" s="27" t="s">
        <v>276</v>
      </c>
      <c r="D146" s="7">
        <v>25.91</v>
      </c>
      <c r="E146" s="7">
        <f t="shared" si="8"/>
        <v>25.91</v>
      </c>
    </row>
    <row r="147" spans="1:5" ht="29.25" customHeight="1" x14ac:dyDescent="0.2">
      <c r="A147" s="20" t="s">
        <v>330</v>
      </c>
      <c r="B147" s="21">
        <v>1</v>
      </c>
      <c r="C147" s="27" t="s">
        <v>279</v>
      </c>
      <c r="D147" s="7">
        <v>4.6500000000000004</v>
      </c>
      <c r="E147" s="7">
        <f t="shared" si="8"/>
        <v>4.6500000000000004</v>
      </c>
    </row>
    <row r="148" spans="1:5" ht="29.25" customHeight="1" x14ac:dyDescent="0.2">
      <c r="A148" s="20" t="s">
        <v>332</v>
      </c>
      <c r="B148" s="21">
        <v>1</v>
      </c>
      <c r="C148" s="27" t="s">
        <v>279</v>
      </c>
      <c r="D148" s="7">
        <v>18.38</v>
      </c>
      <c r="E148" s="7">
        <f t="shared" si="8"/>
        <v>18.38</v>
      </c>
    </row>
    <row r="149" spans="1:5" ht="29.25" customHeight="1" x14ac:dyDescent="0.2">
      <c r="A149" s="20" t="s">
        <v>333</v>
      </c>
      <c r="B149" s="21">
        <v>1</v>
      </c>
      <c r="C149" s="27" t="s">
        <v>279</v>
      </c>
      <c r="D149" s="7">
        <v>18.38</v>
      </c>
      <c r="E149" s="7">
        <f t="shared" si="8"/>
        <v>18.38</v>
      </c>
    </row>
    <row r="150" spans="1:5" ht="29.25" customHeight="1" x14ac:dyDescent="0.2">
      <c r="A150" s="20" t="s">
        <v>331</v>
      </c>
      <c r="B150" s="21">
        <v>1</v>
      </c>
      <c r="C150" s="27" t="s">
        <v>279</v>
      </c>
      <c r="D150" s="7">
        <v>25.12</v>
      </c>
      <c r="E150" s="7">
        <f t="shared" si="8"/>
        <v>25.12</v>
      </c>
    </row>
    <row r="151" spans="1:5" ht="29.25" customHeight="1" x14ac:dyDescent="0.2">
      <c r="A151" s="20" t="s">
        <v>280</v>
      </c>
      <c r="B151" s="21">
        <v>3</v>
      </c>
      <c r="C151" s="27" t="s">
        <v>276</v>
      </c>
      <c r="D151" s="7">
        <v>9.61</v>
      </c>
      <c r="E151" s="7">
        <f t="shared" si="8"/>
        <v>28.83</v>
      </c>
    </row>
    <row r="152" spans="1:5" ht="29.25" customHeight="1" x14ac:dyDescent="0.2">
      <c r="A152" s="20" t="s">
        <v>336</v>
      </c>
      <c r="B152" s="21">
        <v>1</v>
      </c>
      <c r="C152" s="27" t="s">
        <v>276</v>
      </c>
      <c r="D152" s="7">
        <v>7.47</v>
      </c>
      <c r="E152" s="7">
        <f t="shared" si="8"/>
        <v>7.47</v>
      </c>
    </row>
    <row r="153" spans="1:5" ht="29.25" customHeight="1" x14ac:dyDescent="0.2">
      <c r="A153" s="20" t="s">
        <v>282</v>
      </c>
      <c r="B153" s="21">
        <v>3</v>
      </c>
      <c r="C153" s="27" t="s">
        <v>283</v>
      </c>
      <c r="D153" s="7">
        <v>7.4</v>
      </c>
      <c r="E153" s="7">
        <f t="shared" si="8"/>
        <v>22.200000000000003</v>
      </c>
    </row>
    <row r="154" spans="1:5" ht="29.25" customHeight="1" x14ac:dyDescent="0.2">
      <c r="A154" s="20" t="s">
        <v>284</v>
      </c>
      <c r="B154" s="21">
        <v>10</v>
      </c>
      <c r="C154" s="27" t="s">
        <v>283</v>
      </c>
      <c r="D154" s="7">
        <v>10.34</v>
      </c>
      <c r="E154" s="7">
        <f t="shared" si="8"/>
        <v>103.4</v>
      </c>
    </row>
    <row r="155" spans="1:5" ht="29.25" customHeight="1" x14ac:dyDescent="0.2">
      <c r="A155" s="20" t="s">
        <v>337</v>
      </c>
      <c r="B155" s="21">
        <v>9</v>
      </c>
      <c r="C155" s="27" t="s">
        <v>276</v>
      </c>
      <c r="D155" s="7">
        <v>57</v>
      </c>
      <c r="E155" s="7">
        <f t="shared" si="8"/>
        <v>513</v>
      </c>
    </row>
    <row r="156" spans="1:5" ht="29.25" customHeight="1" x14ac:dyDescent="0.2">
      <c r="A156" s="20" t="s">
        <v>338</v>
      </c>
      <c r="B156" s="30">
        <v>1</v>
      </c>
      <c r="C156" s="27" t="s">
        <v>276</v>
      </c>
      <c r="D156" s="7">
        <v>57</v>
      </c>
      <c r="E156" s="7">
        <f t="shared" si="8"/>
        <v>57</v>
      </c>
    </row>
    <row r="157" spans="1:5" ht="29.25" customHeight="1" x14ac:dyDescent="0.2">
      <c r="A157" s="20" t="s">
        <v>339</v>
      </c>
      <c r="B157" s="30">
        <v>3</v>
      </c>
      <c r="C157" s="27" t="s">
        <v>340</v>
      </c>
      <c r="D157" s="7">
        <v>2.84</v>
      </c>
      <c r="E157" s="7">
        <f t="shared" si="8"/>
        <v>8.52</v>
      </c>
    </row>
    <row r="158" spans="1:5" ht="29.25" customHeight="1" x14ac:dyDescent="0.2">
      <c r="A158" s="20" t="s">
        <v>341</v>
      </c>
      <c r="B158" s="30">
        <v>1</v>
      </c>
      <c r="C158" s="27" t="s">
        <v>276</v>
      </c>
      <c r="D158" s="7">
        <v>2.1800000000000002</v>
      </c>
      <c r="E158" s="7">
        <f t="shared" si="8"/>
        <v>2.1800000000000002</v>
      </c>
    </row>
    <row r="159" spans="1:5" ht="29.25" customHeight="1" x14ac:dyDescent="0.2">
      <c r="A159" s="20" t="s">
        <v>342</v>
      </c>
      <c r="B159" s="30">
        <v>1</v>
      </c>
      <c r="C159" s="27" t="s">
        <v>281</v>
      </c>
      <c r="D159" s="7">
        <v>12.55</v>
      </c>
      <c r="E159" s="7">
        <f t="shared" si="8"/>
        <v>12.55</v>
      </c>
    </row>
    <row r="160" spans="1:5" ht="29.25" customHeight="1" x14ac:dyDescent="0.2">
      <c r="A160" s="20" t="s">
        <v>343</v>
      </c>
      <c r="B160" s="30">
        <v>4</v>
      </c>
      <c r="C160" s="27" t="s">
        <v>276</v>
      </c>
      <c r="D160" s="7">
        <v>15.63</v>
      </c>
      <c r="E160" s="7">
        <f t="shared" si="8"/>
        <v>62.52</v>
      </c>
    </row>
    <row r="161" spans="1:7" ht="29.25" customHeight="1" x14ac:dyDescent="0.2">
      <c r="A161" s="20" t="s">
        <v>344</v>
      </c>
      <c r="B161" s="30">
        <v>1</v>
      </c>
      <c r="C161" s="27" t="s">
        <v>276</v>
      </c>
      <c r="D161" s="7">
        <v>16.79</v>
      </c>
      <c r="E161" s="7">
        <f t="shared" si="8"/>
        <v>16.79</v>
      </c>
    </row>
    <row r="162" spans="1:7" ht="29.25" customHeight="1" x14ac:dyDescent="0.2">
      <c r="A162" s="20" t="s">
        <v>345</v>
      </c>
      <c r="B162" s="30">
        <v>1</v>
      </c>
      <c r="C162" s="27" t="s">
        <v>276</v>
      </c>
      <c r="D162" s="7">
        <v>3.49</v>
      </c>
      <c r="E162" s="7">
        <f t="shared" si="8"/>
        <v>3.49</v>
      </c>
    </row>
    <row r="163" spans="1:7" ht="29.25" customHeight="1" x14ac:dyDescent="0.2">
      <c r="A163" s="20" t="s">
        <v>346</v>
      </c>
      <c r="B163" s="30"/>
      <c r="C163" s="27" t="s">
        <v>349</v>
      </c>
      <c r="D163" s="7">
        <v>16.87</v>
      </c>
      <c r="E163" s="7">
        <f t="shared" si="8"/>
        <v>0</v>
      </c>
    </row>
    <row r="164" spans="1:7" ht="29.25" customHeight="1" x14ac:dyDescent="0.2">
      <c r="A164" s="20" t="s">
        <v>347</v>
      </c>
      <c r="B164" s="30">
        <v>3</v>
      </c>
      <c r="C164" s="27" t="s">
        <v>349</v>
      </c>
      <c r="D164" s="7">
        <v>15.1</v>
      </c>
      <c r="E164" s="7">
        <f t="shared" si="8"/>
        <v>45.3</v>
      </c>
    </row>
    <row r="165" spans="1:7" ht="29.25" customHeight="1" x14ac:dyDescent="0.2">
      <c r="A165" s="20" t="s">
        <v>348</v>
      </c>
      <c r="B165" s="30"/>
      <c r="C165" s="27" t="s">
        <v>350</v>
      </c>
      <c r="D165" s="7">
        <v>27.66</v>
      </c>
      <c r="E165" s="7">
        <f t="shared" si="8"/>
        <v>0</v>
      </c>
    </row>
    <row r="166" spans="1:7" ht="29.25" customHeight="1" x14ac:dyDescent="0.2">
      <c r="A166" s="20" t="s">
        <v>44</v>
      </c>
      <c r="B166" s="31">
        <v>9</v>
      </c>
      <c r="C166" s="27"/>
      <c r="D166" s="7">
        <v>28.07</v>
      </c>
      <c r="E166" s="7">
        <f t="shared" si="8"/>
        <v>252.63</v>
      </c>
      <c r="G166" s="33"/>
    </row>
    <row r="167" spans="1:7" ht="29.25" customHeight="1" x14ac:dyDescent="0.2">
      <c r="A167" s="20" t="s">
        <v>180</v>
      </c>
      <c r="B167" s="31">
        <v>11</v>
      </c>
      <c r="C167" s="27"/>
      <c r="D167" s="7">
        <v>27.9</v>
      </c>
      <c r="E167" s="7">
        <f t="shared" si="8"/>
        <v>306.89999999999998</v>
      </c>
    </row>
    <row r="168" spans="1:7" ht="29.25" customHeight="1" x14ac:dyDescent="0.2">
      <c r="A168" s="20" t="s">
        <v>181</v>
      </c>
      <c r="B168" s="31">
        <v>2</v>
      </c>
      <c r="C168" s="27"/>
      <c r="D168" s="7">
        <v>66.05</v>
      </c>
      <c r="E168" s="7">
        <f t="shared" si="8"/>
        <v>132.1</v>
      </c>
    </row>
    <row r="169" spans="1:7" ht="29.25" customHeight="1" x14ac:dyDescent="0.2">
      <c r="A169" s="20" t="s">
        <v>45</v>
      </c>
      <c r="B169" s="30">
        <v>0</v>
      </c>
      <c r="C169" s="21"/>
      <c r="D169" s="7">
        <v>32.119999999999997</v>
      </c>
      <c r="E169" s="7">
        <f t="shared" si="8"/>
        <v>0</v>
      </c>
      <c r="F169" s="12" t="s">
        <v>7</v>
      </c>
      <c r="G169" s="13">
        <f>SUM(E127:E174)</f>
        <v>3897.9000000000005</v>
      </c>
    </row>
    <row r="170" spans="1:7" ht="29.25" customHeight="1" x14ac:dyDescent="0.2">
      <c r="A170" s="20" t="s">
        <v>46</v>
      </c>
      <c r="B170" s="21">
        <v>7</v>
      </c>
      <c r="C170" s="21"/>
      <c r="D170" s="7">
        <v>5.7</v>
      </c>
      <c r="E170" s="7">
        <f t="shared" si="8"/>
        <v>39.9</v>
      </c>
    </row>
    <row r="171" spans="1:7" ht="29.25" customHeight="1" x14ac:dyDescent="0.2">
      <c r="A171" s="20" t="s">
        <v>351</v>
      </c>
      <c r="B171" s="130">
        <v>0</v>
      </c>
      <c r="C171" s="21"/>
      <c r="D171" s="21">
        <v>0.29370000000000002</v>
      </c>
      <c r="E171" s="7">
        <f t="shared" si="8"/>
        <v>0</v>
      </c>
    </row>
    <row r="172" spans="1:7" ht="29.25" customHeight="1" x14ac:dyDescent="0.2">
      <c r="A172" s="20" t="s">
        <v>352</v>
      </c>
      <c r="B172" s="130">
        <v>9</v>
      </c>
      <c r="C172" s="21"/>
      <c r="D172" s="21">
        <v>38.9</v>
      </c>
      <c r="E172" s="7">
        <f t="shared" si="8"/>
        <v>350.09999999999997</v>
      </c>
    </row>
    <row r="173" spans="1:7" ht="29.25" customHeight="1" x14ac:dyDescent="0.2">
      <c r="A173" s="20" t="s">
        <v>353</v>
      </c>
      <c r="B173" s="130">
        <v>6</v>
      </c>
      <c r="C173" s="21"/>
      <c r="D173" s="21">
        <v>28.9</v>
      </c>
      <c r="E173" s="7">
        <f t="shared" si="8"/>
        <v>173.39999999999998</v>
      </c>
    </row>
    <row r="174" spans="1:7" ht="29.25" customHeight="1" x14ac:dyDescent="0.2">
      <c r="A174" s="20" t="s">
        <v>449</v>
      </c>
      <c r="B174" s="130">
        <v>2</v>
      </c>
      <c r="C174" s="21"/>
      <c r="D174" s="21">
        <v>38.9</v>
      </c>
      <c r="E174" s="7">
        <f t="shared" si="8"/>
        <v>77.8</v>
      </c>
    </row>
    <row r="175" spans="1:7" ht="29.25" customHeight="1" x14ac:dyDescent="0.2"/>
    <row r="176" spans="1:7" ht="29.25" customHeight="1" x14ac:dyDescent="0.2">
      <c r="A176" s="32" t="s">
        <v>47</v>
      </c>
      <c r="B176" s="33">
        <f>SUM(G1:G176)</f>
        <v>77189.959999999992</v>
      </c>
      <c r="E176" s="119"/>
      <c r="F176" s="119"/>
      <c r="G176" s="120"/>
    </row>
    <row r="177" spans="1:4" ht="24.95" customHeight="1" x14ac:dyDescent="0.2">
      <c r="B177" s="8">
        <f>G169</f>
        <v>3897.9000000000005</v>
      </c>
      <c r="C177">
        <v>20000</v>
      </c>
      <c r="D177" t="s">
        <v>462</v>
      </c>
    </row>
    <row r="178" spans="1:4" ht="24.95" customHeight="1" x14ac:dyDescent="0.2">
      <c r="B178" s="8">
        <f>B176-B177</f>
        <v>73292.06</v>
      </c>
      <c r="C178">
        <v>30000</v>
      </c>
      <c r="D178" t="s">
        <v>463</v>
      </c>
    </row>
    <row r="179" spans="1:4" ht="24.95" customHeight="1" x14ac:dyDescent="0.2"/>
    <row r="180" spans="1:4" ht="24.95" customHeight="1" x14ac:dyDescent="0.2"/>
    <row r="181" spans="1:4" ht="24.95" customHeight="1" x14ac:dyDescent="0.2"/>
    <row r="182" spans="1:4" ht="24.95" customHeight="1" x14ac:dyDescent="0.2"/>
    <row r="183" spans="1:4" ht="24.95" customHeight="1" x14ac:dyDescent="0.2"/>
    <row r="184" spans="1:4" ht="24.95" customHeight="1" x14ac:dyDescent="0.2"/>
    <row r="185" spans="1:4" ht="24.95" customHeight="1" x14ac:dyDescent="0.2"/>
    <row r="186" spans="1:4" ht="24.95" customHeight="1" x14ac:dyDescent="0.2"/>
    <row r="187" spans="1:4" ht="24.95" customHeight="1" x14ac:dyDescent="0.2"/>
    <row r="188" spans="1:4" ht="12.75" x14ac:dyDescent="0.2">
      <c r="A188"/>
    </row>
    <row r="189" spans="1:4" ht="12.75" x14ac:dyDescent="0.2">
      <c r="A189"/>
    </row>
    <row r="190" spans="1:4" ht="12.75" x14ac:dyDescent="0.2">
      <c r="A190"/>
    </row>
    <row r="191" spans="1:4" ht="12.75" x14ac:dyDescent="0.2">
      <c r="A191"/>
    </row>
    <row r="192" spans="1:4" ht="12.75" x14ac:dyDescent="0.2">
      <c r="A192"/>
    </row>
    <row r="193" spans="1:1" ht="12.75" x14ac:dyDescent="0.2">
      <c r="A193"/>
    </row>
    <row r="194" spans="1:1" ht="12.75" x14ac:dyDescent="0.2">
      <c r="A194"/>
    </row>
    <row r="195" spans="1:1" ht="12.75" x14ac:dyDescent="0.2">
      <c r="A195"/>
    </row>
    <row r="196" spans="1:1" ht="12.75" x14ac:dyDescent="0.2">
      <c r="A196"/>
    </row>
    <row r="197" spans="1:1" ht="12.75" x14ac:dyDescent="0.2">
      <c r="A197"/>
    </row>
    <row r="198" spans="1:1" ht="12.75" x14ac:dyDescent="0.2">
      <c r="A198"/>
    </row>
    <row r="199" spans="1:1" ht="12.75" x14ac:dyDescent="0.2">
      <c r="A199"/>
    </row>
    <row r="200" spans="1:1" ht="12.75" x14ac:dyDescent="0.2">
      <c r="A200"/>
    </row>
    <row r="201" spans="1:1" ht="12.75" x14ac:dyDescent="0.2">
      <c r="A201"/>
    </row>
    <row r="202" spans="1:1" ht="12.75" x14ac:dyDescent="0.2">
      <c r="A202"/>
    </row>
    <row r="203" spans="1:1" ht="12.75" x14ac:dyDescent="0.2">
      <c r="A203"/>
    </row>
    <row r="204" spans="1:1" ht="12.75" x14ac:dyDescent="0.2">
      <c r="A204"/>
    </row>
    <row r="205" spans="1:1" ht="12.75" x14ac:dyDescent="0.2">
      <c r="A205"/>
    </row>
    <row r="206" spans="1:1" ht="12.75" x14ac:dyDescent="0.2">
      <c r="A206"/>
    </row>
    <row r="207" spans="1:1" ht="12.75" x14ac:dyDescent="0.2">
      <c r="A207"/>
    </row>
    <row r="208" spans="1:1" ht="12.75" x14ac:dyDescent="0.2">
      <c r="A208"/>
    </row>
    <row r="209" spans="1:1" ht="12.75" x14ac:dyDescent="0.2">
      <c r="A209"/>
    </row>
    <row r="210" spans="1:1" ht="12.75" x14ac:dyDescent="0.2">
      <c r="A210"/>
    </row>
    <row r="211" spans="1:1" ht="12.75" x14ac:dyDescent="0.2">
      <c r="A211"/>
    </row>
    <row r="212" spans="1:1" ht="12.75" x14ac:dyDescent="0.2">
      <c r="A212"/>
    </row>
    <row r="213" spans="1:1" ht="12.75" x14ac:dyDescent="0.2">
      <c r="A213"/>
    </row>
    <row r="214" spans="1:1" ht="12.75" x14ac:dyDescent="0.2">
      <c r="A214"/>
    </row>
    <row r="215" spans="1:1" ht="12.75" x14ac:dyDescent="0.2">
      <c r="A215"/>
    </row>
    <row r="216" spans="1:1" ht="12.75" x14ac:dyDescent="0.2">
      <c r="A216"/>
    </row>
    <row r="217" spans="1:1" ht="12.75" x14ac:dyDescent="0.2">
      <c r="A217"/>
    </row>
    <row r="218" spans="1:1" ht="12.75" x14ac:dyDescent="0.2">
      <c r="A218"/>
    </row>
    <row r="219" spans="1:1" ht="12.75" x14ac:dyDescent="0.2">
      <c r="A219"/>
    </row>
    <row r="220" spans="1:1" ht="12.75" x14ac:dyDescent="0.2">
      <c r="A220"/>
    </row>
    <row r="221" spans="1:1" ht="12.75" x14ac:dyDescent="0.2">
      <c r="A221"/>
    </row>
    <row r="222" spans="1:1" ht="12.75" x14ac:dyDescent="0.2">
      <c r="A222"/>
    </row>
    <row r="223" spans="1:1" ht="12.75" x14ac:dyDescent="0.2">
      <c r="A223"/>
    </row>
    <row r="224" spans="1:1" ht="12.75" x14ac:dyDescent="0.2">
      <c r="A224"/>
    </row>
    <row r="225" spans="1:1" ht="12.75" x14ac:dyDescent="0.2">
      <c r="A225"/>
    </row>
    <row r="226" spans="1:1" ht="12.75" x14ac:dyDescent="0.2">
      <c r="A226"/>
    </row>
    <row r="227" spans="1:1" ht="12.75" x14ac:dyDescent="0.2">
      <c r="A227"/>
    </row>
    <row r="228" spans="1:1" ht="12.75" x14ac:dyDescent="0.2">
      <c r="A228"/>
    </row>
    <row r="229" spans="1:1" ht="12.75" x14ac:dyDescent="0.2">
      <c r="A229"/>
    </row>
    <row r="230" spans="1:1" ht="12.75" x14ac:dyDescent="0.2">
      <c r="A230"/>
    </row>
    <row r="231" spans="1:1" ht="12.75" x14ac:dyDescent="0.2">
      <c r="A231"/>
    </row>
    <row r="232" spans="1:1" ht="12.75" x14ac:dyDescent="0.2">
      <c r="A232"/>
    </row>
    <row r="233" spans="1:1" ht="12.75" x14ac:dyDescent="0.2">
      <c r="A233"/>
    </row>
    <row r="234" spans="1:1" ht="12.75" x14ac:dyDescent="0.2">
      <c r="A234"/>
    </row>
    <row r="235" spans="1:1" ht="12.75" x14ac:dyDescent="0.2">
      <c r="A235"/>
    </row>
    <row r="236" spans="1:1" ht="12.75" x14ac:dyDescent="0.2">
      <c r="A236"/>
    </row>
    <row r="237" spans="1:1" ht="12.75" x14ac:dyDescent="0.2">
      <c r="A237"/>
    </row>
    <row r="238" spans="1:1" ht="12.75" x14ac:dyDescent="0.2">
      <c r="A238"/>
    </row>
    <row r="239" spans="1:1" ht="12.75" x14ac:dyDescent="0.2">
      <c r="A239"/>
    </row>
    <row r="240" spans="1:1" ht="12.75" x14ac:dyDescent="0.2">
      <c r="A240"/>
    </row>
    <row r="241" spans="1:1" ht="12.75" x14ac:dyDescent="0.2">
      <c r="A241"/>
    </row>
    <row r="242" spans="1:1" ht="12.75" x14ac:dyDescent="0.2">
      <c r="A242"/>
    </row>
    <row r="243" spans="1:1" ht="12.75" x14ac:dyDescent="0.2">
      <c r="A243"/>
    </row>
    <row r="244" spans="1:1" ht="12.75" x14ac:dyDescent="0.2">
      <c r="A244"/>
    </row>
    <row r="245" spans="1:1" ht="12.75" x14ac:dyDescent="0.2">
      <c r="A245"/>
    </row>
    <row r="246" spans="1:1" ht="12.75" x14ac:dyDescent="0.2">
      <c r="A246"/>
    </row>
    <row r="247" spans="1:1" ht="12.75" x14ac:dyDescent="0.2">
      <c r="A247"/>
    </row>
    <row r="248" spans="1:1" ht="12.75" x14ac:dyDescent="0.2">
      <c r="A248"/>
    </row>
    <row r="249" spans="1:1" ht="12.75" x14ac:dyDescent="0.2">
      <c r="A249"/>
    </row>
    <row r="250" spans="1:1" ht="12.75" x14ac:dyDescent="0.2">
      <c r="A250"/>
    </row>
    <row r="251" spans="1:1" ht="12.75" x14ac:dyDescent="0.2">
      <c r="A251"/>
    </row>
    <row r="252" spans="1:1" ht="12.75" x14ac:dyDescent="0.2">
      <c r="A252"/>
    </row>
    <row r="253" spans="1:1" ht="12.75" x14ac:dyDescent="0.2">
      <c r="A253"/>
    </row>
    <row r="254" spans="1:1" ht="12.75" x14ac:dyDescent="0.2">
      <c r="A254"/>
    </row>
    <row r="255" spans="1:1" ht="12.75" x14ac:dyDescent="0.2">
      <c r="A255"/>
    </row>
    <row r="256" spans="1:1" ht="12.75" x14ac:dyDescent="0.2">
      <c r="A256"/>
    </row>
    <row r="257" spans="1:1" ht="12.75" x14ac:dyDescent="0.2">
      <c r="A257"/>
    </row>
    <row r="258" spans="1:1" ht="12.75" x14ac:dyDescent="0.2">
      <c r="A258"/>
    </row>
    <row r="259" spans="1:1" ht="12.75" x14ac:dyDescent="0.2">
      <c r="A259"/>
    </row>
    <row r="260" spans="1:1" ht="12.75" x14ac:dyDescent="0.2">
      <c r="A260"/>
    </row>
    <row r="261" spans="1:1" ht="12.75" x14ac:dyDescent="0.2">
      <c r="A261"/>
    </row>
    <row r="262" spans="1:1" ht="12.75" x14ac:dyDescent="0.2">
      <c r="A262"/>
    </row>
    <row r="263" spans="1:1" ht="12.75" x14ac:dyDescent="0.2">
      <c r="A263"/>
    </row>
    <row r="264" spans="1:1" ht="12.75" x14ac:dyDescent="0.2">
      <c r="A264"/>
    </row>
    <row r="265" spans="1:1" ht="12.75" x14ac:dyDescent="0.2">
      <c r="A265"/>
    </row>
    <row r="266" spans="1:1" ht="12.75" x14ac:dyDescent="0.2">
      <c r="A266"/>
    </row>
    <row r="267" spans="1:1" ht="12.75" x14ac:dyDescent="0.2">
      <c r="A267"/>
    </row>
    <row r="268" spans="1:1" ht="12.75" x14ac:dyDescent="0.2">
      <c r="A268"/>
    </row>
    <row r="269" spans="1:1" ht="12.75" x14ac:dyDescent="0.2">
      <c r="A269"/>
    </row>
    <row r="270" spans="1:1" ht="12.75" x14ac:dyDescent="0.2">
      <c r="A270"/>
    </row>
    <row r="271" spans="1:1" ht="12.75" x14ac:dyDescent="0.2">
      <c r="A271"/>
    </row>
    <row r="272" spans="1:1" ht="12.75" x14ac:dyDescent="0.2">
      <c r="A272"/>
    </row>
    <row r="273" spans="1:1" ht="12.75" x14ac:dyDescent="0.2">
      <c r="A273"/>
    </row>
    <row r="274" spans="1:1" ht="12.75" x14ac:dyDescent="0.2">
      <c r="A274"/>
    </row>
    <row r="275" spans="1:1" ht="12.75" x14ac:dyDescent="0.2">
      <c r="A275"/>
    </row>
    <row r="276" spans="1:1" ht="12.75" x14ac:dyDescent="0.2">
      <c r="A276"/>
    </row>
    <row r="277" spans="1:1" ht="12.75" x14ac:dyDescent="0.2">
      <c r="A277"/>
    </row>
    <row r="278" spans="1:1" ht="12.75" x14ac:dyDescent="0.2">
      <c r="A278"/>
    </row>
    <row r="279" spans="1:1" ht="12.75" x14ac:dyDescent="0.2">
      <c r="A279"/>
    </row>
    <row r="280" spans="1:1" ht="12.75" x14ac:dyDescent="0.2">
      <c r="A280"/>
    </row>
    <row r="281" spans="1:1" ht="12.75" x14ac:dyDescent="0.2">
      <c r="A281"/>
    </row>
    <row r="282" spans="1:1" ht="12.75" x14ac:dyDescent="0.2">
      <c r="A282"/>
    </row>
    <row r="283" spans="1:1" ht="12.75" x14ac:dyDescent="0.2">
      <c r="A283"/>
    </row>
    <row r="284" spans="1:1" ht="12.75" x14ac:dyDescent="0.2">
      <c r="A284"/>
    </row>
    <row r="285" spans="1:1" ht="12.75" x14ac:dyDescent="0.2">
      <c r="A285"/>
    </row>
    <row r="286" spans="1:1" ht="12.75" x14ac:dyDescent="0.2">
      <c r="A286"/>
    </row>
    <row r="287" spans="1:1" ht="12.75" x14ac:dyDescent="0.2">
      <c r="A287"/>
    </row>
    <row r="288" spans="1:1" ht="12.75" x14ac:dyDescent="0.2">
      <c r="A288"/>
    </row>
    <row r="289" spans="1:1" ht="12.75" x14ac:dyDescent="0.2">
      <c r="A289"/>
    </row>
    <row r="290" spans="1:1" ht="12.75" x14ac:dyDescent="0.2">
      <c r="A290"/>
    </row>
    <row r="291" spans="1:1" ht="12.75" x14ac:dyDescent="0.2">
      <c r="A291"/>
    </row>
    <row r="292" spans="1:1" ht="12.75" x14ac:dyDescent="0.2">
      <c r="A292"/>
    </row>
    <row r="293" spans="1:1" ht="12.75" x14ac:dyDescent="0.2">
      <c r="A293"/>
    </row>
    <row r="294" spans="1:1" ht="12.75" x14ac:dyDescent="0.2">
      <c r="A294"/>
    </row>
    <row r="295" spans="1:1" ht="12.75" x14ac:dyDescent="0.2">
      <c r="A295"/>
    </row>
    <row r="296" spans="1:1" ht="12.75" x14ac:dyDescent="0.2">
      <c r="A296"/>
    </row>
    <row r="297" spans="1:1" ht="12.75" x14ac:dyDescent="0.2">
      <c r="A297"/>
    </row>
    <row r="298" spans="1:1" ht="12.75" x14ac:dyDescent="0.2">
      <c r="A298"/>
    </row>
    <row r="299" spans="1:1" ht="12.75" x14ac:dyDescent="0.2">
      <c r="A299"/>
    </row>
    <row r="300" spans="1:1" ht="12.75" x14ac:dyDescent="0.2">
      <c r="A300"/>
    </row>
    <row r="301" spans="1:1" ht="12.75" x14ac:dyDescent="0.2">
      <c r="A301"/>
    </row>
    <row r="302" spans="1:1" ht="12.75" x14ac:dyDescent="0.2">
      <c r="A302"/>
    </row>
    <row r="303" spans="1:1" ht="12.75" x14ac:dyDescent="0.2">
      <c r="A303"/>
    </row>
    <row r="304" spans="1:1" ht="12.75" x14ac:dyDescent="0.2">
      <c r="A304"/>
    </row>
    <row r="305" spans="1:1" ht="12.75" x14ac:dyDescent="0.2">
      <c r="A305"/>
    </row>
    <row r="306" spans="1:1" ht="12.75" x14ac:dyDescent="0.2">
      <c r="A306"/>
    </row>
    <row r="307" spans="1:1" ht="12.75" x14ac:dyDescent="0.2">
      <c r="A307"/>
    </row>
    <row r="308" spans="1:1" ht="12.75" x14ac:dyDescent="0.2">
      <c r="A308"/>
    </row>
    <row r="309" spans="1:1" ht="12.75" x14ac:dyDescent="0.2">
      <c r="A309"/>
    </row>
    <row r="310" spans="1:1" ht="12.75" x14ac:dyDescent="0.2">
      <c r="A310"/>
    </row>
    <row r="311" spans="1:1" ht="12.75" x14ac:dyDescent="0.2">
      <c r="A311"/>
    </row>
    <row r="312" spans="1:1" ht="12.75" x14ac:dyDescent="0.2">
      <c r="A312"/>
    </row>
    <row r="313" spans="1:1" ht="12.75" x14ac:dyDescent="0.2">
      <c r="A313"/>
    </row>
    <row r="314" spans="1:1" ht="12.75" x14ac:dyDescent="0.2">
      <c r="A314"/>
    </row>
    <row r="315" spans="1:1" ht="12.75" x14ac:dyDescent="0.2">
      <c r="A315"/>
    </row>
    <row r="316" spans="1:1" ht="12.75" x14ac:dyDescent="0.2">
      <c r="A316"/>
    </row>
    <row r="317" spans="1:1" ht="12.75" x14ac:dyDescent="0.2">
      <c r="A317"/>
    </row>
    <row r="318" spans="1:1" ht="12.75" x14ac:dyDescent="0.2">
      <c r="A318"/>
    </row>
    <row r="319" spans="1:1" ht="12.75" x14ac:dyDescent="0.2">
      <c r="A319"/>
    </row>
    <row r="320" spans="1:1" ht="12.75" x14ac:dyDescent="0.2">
      <c r="A320"/>
    </row>
    <row r="321" spans="1:1" ht="12.75" x14ac:dyDescent="0.2">
      <c r="A321"/>
    </row>
    <row r="322" spans="1:1" ht="12.75" x14ac:dyDescent="0.2">
      <c r="A322"/>
    </row>
    <row r="323" spans="1:1" ht="12.75" x14ac:dyDescent="0.2">
      <c r="A323"/>
    </row>
    <row r="324" spans="1:1" ht="12.75" x14ac:dyDescent="0.2">
      <c r="A324"/>
    </row>
    <row r="325" spans="1:1" ht="12.75" x14ac:dyDescent="0.2">
      <c r="A325"/>
    </row>
    <row r="326" spans="1:1" ht="12.75" x14ac:dyDescent="0.2">
      <c r="A326"/>
    </row>
    <row r="327" spans="1:1" ht="12.75" x14ac:dyDescent="0.2">
      <c r="A327"/>
    </row>
    <row r="328" spans="1:1" ht="12.75" x14ac:dyDescent="0.2">
      <c r="A328"/>
    </row>
    <row r="329" spans="1:1" ht="12.75" x14ac:dyDescent="0.2">
      <c r="A329"/>
    </row>
    <row r="330" spans="1:1" ht="12.75" x14ac:dyDescent="0.2">
      <c r="A330"/>
    </row>
    <row r="331" spans="1:1" ht="12.75" x14ac:dyDescent="0.2">
      <c r="A331"/>
    </row>
    <row r="332" spans="1:1" ht="12.75" x14ac:dyDescent="0.2">
      <c r="A332"/>
    </row>
    <row r="333" spans="1:1" ht="12.75" x14ac:dyDescent="0.2">
      <c r="A333"/>
    </row>
    <row r="334" spans="1:1" ht="12.75" x14ac:dyDescent="0.2">
      <c r="A334"/>
    </row>
    <row r="335" spans="1:1" ht="12.75" x14ac:dyDescent="0.2">
      <c r="A335"/>
    </row>
    <row r="336" spans="1:1" ht="12.75" x14ac:dyDescent="0.2">
      <c r="A336"/>
    </row>
    <row r="337" spans="1:1" ht="12.75" x14ac:dyDescent="0.2">
      <c r="A337"/>
    </row>
    <row r="338" spans="1:1" ht="12.75" x14ac:dyDescent="0.2">
      <c r="A338"/>
    </row>
    <row r="339" spans="1:1" ht="12.75" x14ac:dyDescent="0.2">
      <c r="A339"/>
    </row>
    <row r="340" spans="1:1" ht="12.75" x14ac:dyDescent="0.2">
      <c r="A340"/>
    </row>
    <row r="341" spans="1:1" ht="12.75" x14ac:dyDescent="0.2">
      <c r="A341"/>
    </row>
    <row r="342" spans="1:1" ht="12.75" x14ac:dyDescent="0.2">
      <c r="A342"/>
    </row>
    <row r="343" spans="1:1" ht="12.75" x14ac:dyDescent="0.2">
      <c r="A343"/>
    </row>
    <row r="344" spans="1:1" ht="12.75" x14ac:dyDescent="0.2">
      <c r="A344"/>
    </row>
    <row r="345" spans="1:1" ht="12.75" x14ac:dyDescent="0.2">
      <c r="A345"/>
    </row>
    <row r="346" spans="1:1" ht="12.75" x14ac:dyDescent="0.2">
      <c r="A346"/>
    </row>
    <row r="347" spans="1:1" ht="12.75" x14ac:dyDescent="0.2">
      <c r="A347"/>
    </row>
    <row r="348" spans="1:1" ht="12.75" x14ac:dyDescent="0.2">
      <c r="A348"/>
    </row>
    <row r="349" spans="1:1" ht="12.75" x14ac:dyDescent="0.2">
      <c r="A349"/>
    </row>
    <row r="350" spans="1:1" ht="12.75" x14ac:dyDescent="0.2">
      <c r="A350"/>
    </row>
    <row r="351" spans="1:1" ht="12.75" x14ac:dyDescent="0.2">
      <c r="A351"/>
    </row>
    <row r="352" spans="1:1" ht="12.75" x14ac:dyDescent="0.2">
      <c r="A352"/>
    </row>
    <row r="353" spans="1:1" ht="12.75" x14ac:dyDescent="0.2">
      <c r="A353"/>
    </row>
    <row r="354" spans="1:1" ht="12.75" x14ac:dyDescent="0.2">
      <c r="A354"/>
    </row>
    <row r="355" spans="1:1" ht="12.75" x14ac:dyDescent="0.2">
      <c r="A355"/>
    </row>
    <row r="356" spans="1:1" ht="12.75" x14ac:dyDescent="0.2">
      <c r="A356"/>
    </row>
    <row r="357" spans="1:1" ht="12.75" x14ac:dyDescent="0.2">
      <c r="A357"/>
    </row>
    <row r="358" spans="1:1" ht="12.75" x14ac:dyDescent="0.2">
      <c r="A358"/>
    </row>
    <row r="359" spans="1:1" ht="12.75" x14ac:dyDescent="0.2">
      <c r="A359"/>
    </row>
    <row r="360" spans="1:1" ht="12.75" x14ac:dyDescent="0.2">
      <c r="A360"/>
    </row>
    <row r="361" spans="1:1" ht="12.75" x14ac:dyDescent="0.2">
      <c r="A361"/>
    </row>
    <row r="362" spans="1:1" ht="12.75" x14ac:dyDescent="0.2">
      <c r="A362"/>
    </row>
    <row r="363" spans="1:1" ht="12.75" x14ac:dyDescent="0.2">
      <c r="A363"/>
    </row>
    <row r="364" spans="1:1" ht="12.75" x14ac:dyDescent="0.2">
      <c r="A364"/>
    </row>
    <row r="365" spans="1:1" ht="12.75" x14ac:dyDescent="0.2">
      <c r="A365"/>
    </row>
    <row r="366" spans="1:1" ht="12.75" x14ac:dyDescent="0.2">
      <c r="A366"/>
    </row>
    <row r="367" spans="1:1" ht="12.75" x14ac:dyDescent="0.2">
      <c r="A367"/>
    </row>
    <row r="368" spans="1:1" ht="12.75" x14ac:dyDescent="0.2">
      <c r="A368"/>
    </row>
    <row r="369" spans="1:1" ht="12.75" x14ac:dyDescent="0.2">
      <c r="A369"/>
    </row>
    <row r="370" spans="1:1" ht="12.75" x14ac:dyDescent="0.2">
      <c r="A370"/>
    </row>
    <row r="371" spans="1:1" ht="12.75" x14ac:dyDescent="0.2">
      <c r="A371"/>
    </row>
    <row r="372" spans="1:1" ht="12.75" x14ac:dyDescent="0.2">
      <c r="A372"/>
    </row>
    <row r="373" spans="1:1" ht="12.75" x14ac:dyDescent="0.2">
      <c r="A373"/>
    </row>
    <row r="374" spans="1:1" ht="12.75" x14ac:dyDescent="0.2">
      <c r="A374"/>
    </row>
    <row r="375" spans="1:1" ht="12.75" x14ac:dyDescent="0.2">
      <c r="A375"/>
    </row>
    <row r="376" spans="1:1" ht="12.75" x14ac:dyDescent="0.2">
      <c r="A376"/>
    </row>
    <row r="377" spans="1:1" ht="12.75" x14ac:dyDescent="0.2">
      <c r="A377"/>
    </row>
    <row r="378" spans="1:1" ht="12.75" x14ac:dyDescent="0.2">
      <c r="A378"/>
    </row>
    <row r="379" spans="1:1" ht="12.75" x14ac:dyDescent="0.2">
      <c r="A379"/>
    </row>
    <row r="380" spans="1:1" ht="12.75" x14ac:dyDescent="0.2">
      <c r="A380"/>
    </row>
    <row r="381" spans="1:1" ht="12.75" x14ac:dyDescent="0.2">
      <c r="A381"/>
    </row>
    <row r="382" spans="1:1" ht="12.75" x14ac:dyDescent="0.2">
      <c r="A382"/>
    </row>
    <row r="383" spans="1:1" ht="12.75" x14ac:dyDescent="0.2">
      <c r="A383"/>
    </row>
    <row r="384" spans="1:1" ht="12.75" x14ac:dyDescent="0.2">
      <c r="A384"/>
    </row>
    <row r="385" spans="1:1" ht="12.75" x14ac:dyDescent="0.2">
      <c r="A385"/>
    </row>
    <row r="386" spans="1:1" ht="12.75" x14ac:dyDescent="0.2">
      <c r="A386"/>
    </row>
    <row r="387" spans="1:1" ht="12.75" x14ac:dyDescent="0.2">
      <c r="A387"/>
    </row>
    <row r="388" spans="1:1" ht="12.75" x14ac:dyDescent="0.2">
      <c r="A388"/>
    </row>
    <row r="389" spans="1:1" ht="12.75" x14ac:dyDescent="0.2">
      <c r="A389"/>
    </row>
    <row r="390" spans="1:1" ht="12.75" x14ac:dyDescent="0.2">
      <c r="A390"/>
    </row>
    <row r="391" spans="1:1" ht="12.75" x14ac:dyDescent="0.2">
      <c r="A391"/>
    </row>
    <row r="392" spans="1:1" ht="12.75" x14ac:dyDescent="0.2">
      <c r="A392"/>
    </row>
    <row r="393" spans="1:1" ht="12.75" x14ac:dyDescent="0.2">
      <c r="A393"/>
    </row>
    <row r="394" spans="1:1" ht="12.75" x14ac:dyDescent="0.2">
      <c r="A394"/>
    </row>
    <row r="395" spans="1:1" ht="12.75" x14ac:dyDescent="0.2">
      <c r="A395"/>
    </row>
    <row r="396" spans="1:1" ht="12.75" x14ac:dyDescent="0.2">
      <c r="A396"/>
    </row>
    <row r="397" spans="1:1" ht="12.75" x14ac:dyDescent="0.2">
      <c r="A397"/>
    </row>
    <row r="398" spans="1:1" ht="12.75" x14ac:dyDescent="0.2">
      <c r="A398"/>
    </row>
    <row r="399" spans="1:1" ht="12.75" x14ac:dyDescent="0.2">
      <c r="A399"/>
    </row>
    <row r="400" spans="1:1" ht="12.75" x14ac:dyDescent="0.2">
      <c r="A400"/>
    </row>
    <row r="401" spans="1:1" ht="12.75" x14ac:dyDescent="0.2">
      <c r="A401"/>
    </row>
    <row r="402" spans="1:1" ht="12.75" x14ac:dyDescent="0.2">
      <c r="A402"/>
    </row>
    <row r="403" spans="1:1" ht="12.75" x14ac:dyDescent="0.2">
      <c r="A403"/>
    </row>
    <row r="404" spans="1:1" ht="12.75" x14ac:dyDescent="0.2">
      <c r="A404"/>
    </row>
    <row r="405" spans="1:1" ht="12.75" x14ac:dyDescent="0.2">
      <c r="A405"/>
    </row>
    <row r="406" spans="1:1" ht="12.75" x14ac:dyDescent="0.2">
      <c r="A406"/>
    </row>
    <row r="407" spans="1:1" ht="12.75" x14ac:dyDescent="0.2">
      <c r="A407"/>
    </row>
    <row r="408" spans="1:1" ht="12.75" x14ac:dyDescent="0.2">
      <c r="A408"/>
    </row>
    <row r="409" spans="1:1" ht="12.75" x14ac:dyDescent="0.2">
      <c r="A409"/>
    </row>
    <row r="410" spans="1:1" ht="12.75" x14ac:dyDescent="0.2">
      <c r="A410"/>
    </row>
    <row r="411" spans="1:1" ht="12.75" x14ac:dyDescent="0.2">
      <c r="A411"/>
    </row>
    <row r="412" spans="1:1" ht="12.75" x14ac:dyDescent="0.2">
      <c r="A412"/>
    </row>
    <row r="413" spans="1:1" ht="12.75" x14ac:dyDescent="0.2">
      <c r="A413"/>
    </row>
    <row r="414" spans="1:1" ht="12.75" x14ac:dyDescent="0.2">
      <c r="A414"/>
    </row>
    <row r="415" spans="1:1" ht="12.75" x14ac:dyDescent="0.2">
      <c r="A415"/>
    </row>
    <row r="416" spans="1:1" ht="12.75" x14ac:dyDescent="0.2">
      <c r="A416"/>
    </row>
    <row r="417" spans="1:1" ht="12.75" x14ac:dyDescent="0.2">
      <c r="A417"/>
    </row>
    <row r="418" spans="1:1" ht="12.75" x14ac:dyDescent="0.2">
      <c r="A418"/>
    </row>
    <row r="419" spans="1:1" ht="12.75" x14ac:dyDescent="0.2">
      <c r="A419"/>
    </row>
    <row r="420" spans="1:1" ht="12.75" x14ac:dyDescent="0.2">
      <c r="A420"/>
    </row>
    <row r="421" spans="1:1" ht="12.75" x14ac:dyDescent="0.2">
      <c r="A421"/>
    </row>
    <row r="422" spans="1:1" ht="12.75" x14ac:dyDescent="0.2">
      <c r="A422"/>
    </row>
    <row r="423" spans="1:1" ht="12.75" x14ac:dyDescent="0.2">
      <c r="A423"/>
    </row>
    <row r="424" spans="1:1" ht="12.75" x14ac:dyDescent="0.2">
      <c r="A424"/>
    </row>
    <row r="425" spans="1:1" ht="12.75" x14ac:dyDescent="0.2">
      <c r="A425"/>
    </row>
    <row r="426" spans="1:1" ht="12.75" x14ac:dyDescent="0.2">
      <c r="A426"/>
    </row>
    <row r="427" spans="1:1" ht="12.75" x14ac:dyDescent="0.2">
      <c r="A427"/>
    </row>
    <row r="428" spans="1:1" ht="12.75" x14ac:dyDescent="0.2">
      <c r="A428"/>
    </row>
    <row r="429" spans="1:1" ht="12.75" x14ac:dyDescent="0.2">
      <c r="A429"/>
    </row>
    <row r="430" spans="1:1" ht="12.75" x14ac:dyDescent="0.2">
      <c r="A430"/>
    </row>
    <row r="431" spans="1:1" ht="12.75" x14ac:dyDescent="0.2">
      <c r="A431"/>
    </row>
    <row r="432" spans="1:1" ht="12.75" x14ac:dyDescent="0.2">
      <c r="A432"/>
    </row>
    <row r="433" spans="1:1" ht="12.75" x14ac:dyDescent="0.2">
      <c r="A433"/>
    </row>
    <row r="434" spans="1:1" ht="12.75" x14ac:dyDescent="0.2">
      <c r="A434"/>
    </row>
    <row r="435" spans="1:1" ht="12.75" x14ac:dyDescent="0.2">
      <c r="A435"/>
    </row>
    <row r="436" spans="1:1" ht="12.75" x14ac:dyDescent="0.2">
      <c r="A436"/>
    </row>
    <row r="437" spans="1:1" ht="12.75" x14ac:dyDescent="0.2">
      <c r="A437"/>
    </row>
    <row r="438" spans="1:1" ht="12.75" x14ac:dyDescent="0.2">
      <c r="A438"/>
    </row>
    <row r="439" spans="1:1" ht="12.75" x14ac:dyDescent="0.2">
      <c r="A439"/>
    </row>
    <row r="440" spans="1:1" ht="12.75" x14ac:dyDescent="0.2">
      <c r="A440"/>
    </row>
    <row r="441" spans="1:1" ht="12.75" x14ac:dyDescent="0.2">
      <c r="A441"/>
    </row>
    <row r="442" spans="1:1" ht="12.75" x14ac:dyDescent="0.2">
      <c r="A442"/>
    </row>
    <row r="443" spans="1:1" ht="12.75" x14ac:dyDescent="0.2">
      <c r="A443"/>
    </row>
    <row r="444" spans="1:1" ht="12.75" x14ac:dyDescent="0.2">
      <c r="A444"/>
    </row>
    <row r="445" spans="1:1" ht="12.75" x14ac:dyDescent="0.2">
      <c r="A445"/>
    </row>
    <row r="446" spans="1:1" ht="12.75" x14ac:dyDescent="0.2">
      <c r="A446"/>
    </row>
    <row r="447" spans="1:1" ht="12.75" x14ac:dyDescent="0.2">
      <c r="A447"/>
    </row>
    <row r="448" spans="1:1" ht="12.75" x14ac:dyDescent="0.2">
      <c r="A448"/>
    </row>
    <row r="449" spans="1:1" ht="12.75" x14ac:dyDescent="0.2">
      <c r="A449"/>
    </row>
    <row r="450" spans="1:1" ht="12.75" x14ac:dyDescent="0.2">
      <c r="A450"/>
    </row>
    <row r="451" spans="1:1" ht="12.75" x14ac:dyDescent="0.2">
      <c r="A451"/>
    </row>
    <row r="452" spans="1:1" ht="12.75" x14ac:dyDescent="0.2">
      <c r="A452"/>
    </row>
    <row r="453" spans="1:1" ht="12.75" x14ac:dyDescent="0.2">
      <c r="A453"/>
    </row>
    <row r="454" spans="1:1" ht="12.75" x14ac:dyDescent="0.2">
      <c r="A454"/>
    </row>
    <row r="455" spans="1:1" ht="12.75" x14ac:dyDescent="0.2">
      <c r="A455"/>
    </row>
    <row r="456" spans="1:1" ht="12.75" x14ac:dyDescent="0.2">
      <c r="A456"/>
    </row>
    <row r="457" spans="1:1" ht="12.75" x14ac:dyDescent="0.2">
      <c r="A457"/>
    </row>
    <row r="458" spans="1:1" ht="12.75" x14ac:dyDescent="0.2">
      <c r="A458"/>
    </row>
    <row r="459" spans="1:1" ht="12.75" x14ac:dyDescent="0.2">
      <c r="A459"/>
    </row>
    <row r="460" spans="1:1" ht="12.75" x14ac:dyDescent="0.2">
      <c r="A460"/>
    </row>
    <row r="461" spans="1:1" ht="12.75" x14ac:dyDescent="0.2">
      <c r="A461"/>
    </row>
    <row r="462" spans="1:1" ht="12.75" x14ac:dyDescent="0.2">
      <c r="A462"/>
    </row>
    <row r="463" spans="1:1" ht="12.75" x14ac:dyDescent="0.2">
      <c r="A463"/>
    </row>
    <row r="464" spans="1:1" ht="12.75" x14ac:dyDescent="0.2">
      <c r="A464"/>
    </row>
    <row r="465" spans="1:1" ht="12.75" x14ac:dyDescent="0.2">
      <c r="A465"/>
    </row>
    <row r="466" spans="1:1" ht="12.75" x14ac:dyDescent="0.2">
      <c r="A466"/>
    </row>
    <row r="467" spans="1:1" ht="12.75" x14ac:dyDescent="0.2">
      <c r="A467"/>
    </row>
    <row r="468" spans="1:1" ht="12.75" x14ac:dyDescent="0.2">
      <c r="A468"/>
    </row>
    <row r="469" spans="1:1" ht="12.75" x14ac:dyDescent="0.2">
      <c r="A469"/>
    </row>
    <row r="470" spans="1:1" ht="12.75" x14ac:dyDescent="0.2">
      <c r="A470"/>
    </row>
    <row r="471" spans="1:1" ht="12.75" x14ac:dyDescent="0.2">
      <c r="A471"/>
    </row>
    <row r="472" spans="1:1" ht="12.75" x14ac:dyDescent="0.2">
      <c r="A472"/>
    </row>
    <row r="473" spans="1:1" ht="12.75" x14ac:dyDescent="0.2">
      <c r="A473"/>
    </row>
    <row r="474" spans="1:1" ht="12.75" x14ac:dyDescent="0.2">
      <c r="A474"/>
    </row>
    <row r="475" spans="1:1" ht="12.75" x14ac:dyDescent="0.2">
      <c r="A475"/>
    </row>
    <row r="476" spans="1:1" ht="12.75" x14ac:dyDescent="0.2">
      <c r="A476"/>
    </row>
    <row r="477" spans="1:1" ht="12.75" x14ac:dyDescent="0.2">
      <c r="A477"/>
    </row>
    <row r="478" spans="1:1" ht="12.75" x14ac:dyDescent="0.2">
      <c r="A478"/>
    </row>
    <row r="479" spans="1:1" ht="12.75" x14ac:dyDescent="0.2">
      <c r="A479"/>
    </row>
    <row r="480" spans="1:1" ht="12.75" x14ac:dyDescent="0.2">
      <c r="A480"/>
    </row>
    <row r="481" spans="1:1" ht="12.75" x14ac:dyDescent="0.2">
      <c r="A481"/>
    </row>
    <row r="482" spans="1:1" ht="12.75" x14ac:dyDescent="0.2">
      <c r="A482"/>
    </row>
  </sheetData>
  <mergeCells count="3">
    <mergeCell ref="A1:B1"/>
    <mergeCell ref="C1:D1"/>
    <mergeCell ref="A53:B53"/>
  </mergeCells>
  <pageMargins left="0.25" right="0.25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opLeftCell="A8" zoomScale="85" zoomScaleNormal="85" workbookViewId="0">
      <selection activeCell="E20" sqref="E20"/>
    </sheetView>
  </sheetViews>
  <sheetFormatPr baseColWidth="10" defaultRowHeight="12.75" x14ac:dyDescent="0.2"/>
  <cols>
    <col min="1" max="1" width="26.5703125" customWidth="1"/>
    <col min="4" max="4" width="19.85546875" bestFit="1" customWidth="1"/>
  </cols>
  <sheetData>
    <row r="1" spans="1:4" ht="15.75" x14ac:dyDescent="0.2">
      <c r="A1" s="164" t="s">
        <v>0</v>
      </c>
      <c r="B1" s="164"/>
      <c r="C1" s="165">
        <v>42173</v>
      </c>
      <c r="D1" s="164"/>
    </row>
    <row r="2" spans="1:4" ht="15.75" thickBot="1" x14ac:dyDescent="0.25">
      <c r="A2" s="9"/>
    </row>
    <row r="3" spans="1:4" ht="15.75" x14ac:dyDescent="0.2">
      <c r="A3" s="168" t="s">
        <v>49</v>
      </c>
      <c r="B3" s="169"/>
      <c r="C3" s="108" t="s">
        <v>2</v>
      </c>
      <c r="D3" s="109" t="s">
        <v>3</v>
      </c>
    </row>
    <row r="4" spans="1:4" ht="33" customHeight="1" x14ac:dyDescent="0.2">
      <c r="A4" s="104" t="s">
        <v>198</v>
      </c>
      <c r="B4" s="106">
        <v>5</v>
      </c>
      <c r="C4" s="34">
        <v>33</v>
      </c>
      <c r="D4" s="110">
        <f t="shared" ref="D4:D18" si="0">B4*C4</f>
        <v>165</v>
      </c>
    </row>
    <row r="5" spans="1:4" ht="33" customHeight="1" x14ac:dyDescent="0.2">
      <c r="A5" s="104" t="s">
        <v>199</v>
      </c>
      <c r="B5" s="106">
        <v>5</v>
      </c>
      <c r="C5" s="34">
        <v>24.9</v>
      </c>
      <c r="D5" s="110">
        <f t="shared" si="0"/>
        <v>124.5</v>
      </c>
    </row>
    <row r="6" spans="1:4" ht="33" customHeight="1" x14ac:dyDescent="0.2">
      <c r="A6" s="104" t="s">
        <v>200</v>
      </c>
      <c r="B6" s="106">
        <v>120</v>
      </c>
      <c r="C6" s="34">
        <v>8.5</v>
      </c>
      <c r="D6" s="110">
        <f t="shared" si="0"/>
        <v>1020</v>
      </c>
    </row>
    <row r="7" spans="1:4" ht="33" customHeight="1" x14ac:dyDescent="0.2">
      <c r="A7" s="104" t="s">
        <v>455</v>
      </c>
      <c r="B7" s="106">
        <v>10</v>
      </c>
      <c r="C7" s="34">
        <v>14</v>
      </c>
      <c r="D7" s="110">
        <f t="shared" si="0"/>
        <v>140</v>
      </c>
    </row>
    <row r="8" spans="1:4" ht="33" customHeight="1" x14ac:dyDescent="0.2">
      <c r="A8" s="104" t="s">
        <v>456</v>
      </c>
      <c r="B8" s="106">
        <v>12</v>
      </c>
      <c r="C8" s="34">
        <v>53</v>
      </c>
      <c r="D8" s="110">
        <f t="shared" si="0"/>
        <v>636</v>
      </c>
    </row>
    <row r="9" spans="1:4" ht="33" customHeight="1" x14ac:dyDescent="0.2">
      <c r="A9" s="104" t="s">
        <v>201</v>
      </c>
      <c r="B9" s="106">
        <v>150</v>
      </c>
      <c r="C9" s="34">
        <v>12</v>
      </c>
      <c r="D9" s="110">
        <f t="shared" si="0"/>
        <v>1800</v>
      </c>
    </row>
    <row r="10" spans="1:4" ht="33" customHeight="1" x14ac:dyDescent="0.2">
      <c r="A10" s="104" t="s">
        <v>457</v>
      </c>
      <c r="B10" s="106">
        <v>50</v>
      </c>
      <c r="C10" s="34">
        <v>14.52</v>
      </c>
      <c r="D10" s="110">
        <f t="shared" si="0"/>
        <v>726</v>
      </c>
    </row>
    <row r="11" spans="1:4" ht="33" customHeight="1" x14ac:dyDescent="0.2">
      <c r="A11" s="104" t="s">
        <v>202</v>
      </c>
      <c r="B11" s="106">
        <v>4</v>
      </c>
      <c r="C11" s="34">
        <v>16</v>
      </c>
      <c r="D11" s="110">
        <f t="shared" si="0"/>
        <v>64</v>
      </c>
    </row>
    <row r="12" spans="1:4" ht="33" customHeight="1" x14ac:dyDescent="0.2">
      <c r="A12" s="104" t="s">
        <v>458</v>
      </c>
      <c r="B12" s="106">
        <v>12</v>
      </c>
      <c r="C12" s="34">
        <v>46</v>
      </c>
      <c r="D12" s="110">
        <f t="shared" si="0"/>
        <v>552</v>
      </c>
    </row>
    <row r="13" spans="1:4" ht="33" customHeight="1" x14ac:dyDescent="0.2">
      <c r="A13" s="104" t="s">
        <v>459</v>
      </c>
      <c r="B13" s="106">
        <v>25</v>
      </c>
      <c r="C13" s="34">
        <v>3.75</v>
      </c>
      <c r="D13" s="110">
        <f t="shared" si="0"/>
        <v>93.75</v>
      </c>
    </row>
    <row r="14" spans="1:4" ht="33" customHeight="1" x14ac:dyDescent="0.2">
      <c r="A14" s="104" t="s">
        <v>460</v>
      </c>
      <c r="B14" s="106">
        <v>24</v>
      </c>
      <c r="C14" s="34">
        <v>38.5</v>
      </c>
      <c r="D14" s="110">
        <f t="shared" si="0"/>
        <v>924</v>
      </c>
    </row>
    <row r="15" spans="1:4" ht="33" customHeight="1" x14ac:dyDescent="0.2">
      <c r="A15" s="104" t="s">
        <v>461</v>
      </c>
      <c r="B15" s="106">
        <v>120</v>
      </c>
      <c r="C15" s="34">
        <v>12</v>
      </c>
      <c r="D15" s="110">
        <f t="shared" si="0"/>
        <v>1440</v>
      </c>
    </row>
    <row r="16" spans="1:4" ht="33.75" customHeight="1" x14ac:dyDescent="0.2">
      <c r="A16" s="104"/>
      <c r="B16" s="106"/>
      <c r="C16" s="34"/>
      <c r="D16" s="110"/>
    </row>
    <row r="17" spans="1:5" ht="33.75" customHeight="1" thickBot="1" x14ac:dyDescent="0.25">
      <c r="A17" s="104" t="s">
        <v>203</v>
      </c>
      <c r="B17" s="106">
        <v>3</v>
      </c>
      <c r="C17" s="34">
        <v>15.45</v>
      </c>
      <c r="D17" s="110">
        <f t="shared" si="0"/>
        <v>46.349999999999994</v>
      </c>
      <c r="E17" s="8"/>
    </row>
    <row r="18" spans="1:5" ht="33.75" customHeight="1" x14ac:dyDescent="0.25">
      <c r="A18" s="104" t="s">
        <v>214</v>
      </c>
      <c r="B18" s="106">
        <v>10</v>
      </c>
      <c r="C18" s="34">
        <v>14.85</v>
      </c>
      <c r="D18" s="110">
        <f t="shared" si="0"/>
        <v>148.5</v>
      </c>
      <c r="E18" s="113" t="s">
        <v>50</v>
      </c>
    </row>
    <row r="19" spans="1:5" ht="33.75" customHeight="1" thickBot="1" x14ac:dyDescent="0.3">
      <c r="A19" s="105"/>
      <c r="B19" s="107"/>
      <c r="C19" s="111"/>
      <c r="D19" s="112"/>
      <c r="E19" s="114">
        <f>SUM(D4:D19)</f>
        <v>7880.1</v>
      </c>
    </row>
    <row r="20" spans="1:5" ht="33.75" customHeight="1" x14ac:dyDescent="0.2"/>
    <row r="21" spans="1:5" ht="33.75" customHeight="1" x14ac:dyDescent="0.2"/>
    <row r="22" spans="1:5" ht="33.75" customHeight="1" x14ac:dyDescent="0.2"/>
    <row r="23" spans="1:5" ht="33.75" customHeight="1" x14ac:dyDescent="0.2"/>
    <row r="24" spans="1:5" ht="33.75" customHeight="1" x14ac:dyDescent="0.2"/>
    <row r="25" spans="1:5" ht="33.75" customHeight="1" x14ac:dyDescent="0.2"/>
    <row r="26" spans="1:5" ht="33.75" customHeight="1" x14ac:dyDescent="0.2"/>
    <row r="27" spans="1:5" ht="33.75" customHeight="1" x14ac:dyDescent="0.2"/>
    <row r="28" spans="1:5" ht="33.75" customHeight="1" x14ac:dyDescent="0.2"/>
    <row r="29" spans="1:5" ht="33.75" customHeight="1" x14ac:dyDescent="0.2"/>
    <row r="30" spans="1:5" ht="33.75" customHeight="1" x14ac:dyDescent="0.2"/>
    <row r="31" spans="1:5" ht="33.75" customHeight="1" x14ac:dyDescent="0.2"/>
    <row r="32" spans="1:5" ht="33.75" customHeight="1" x14ac:dyDescent="0.2"/>
    <row r="33" ht="33.75" customHeight="1" x14ac:dyDescent="0.2"/>
    <row r="34" ht="33.75" customHeight="1" x14ac:dyDescent="0.2"/>
    <row r="35" ht="33.75" customHeight="1" x14ac:dyDescent="0.2"/>
    <row r="36" ht="33.75" customHeight="1" x14ac:dyDescent="0.2"/>
    <row r="37" ht="33.75" customHeight="1" x14ac:dyDescent="0.2"/>
    <row r="38" ht="33.75" customHeight="1" x14ac:dyDescent="0.2"/>
    <row r="39" ht="33.75" customHeight="1" x14ac:dyDescent="0.2"/>
    <row r="40" ht="33.75" customHeight="1" x14ac:dyDescent="0.2"/>
    <row r="41" ht="33.75" customHeight="1" x14ac:dyDescent="0.2"/>
    <row r="42" ht="33.75" customHeight="1" x14ac:dyDescent="0.2"/>
    <row r="43" ht="33.75" customHeight="1" x14ac:dyDescent="0.2"/>
    <row r="44" ht="33.75" customHeight="1" x14ac:dyDescent="0.2"/>
    <row r="45" ht="33.75" customHeight="1" x14ac:dyDescent="0.2"/>
    <row r="46" ht="33.75" customHeight="1" x14ac:dyDescent="0.2"/>
    <row r="47" ht="33.75" customHeight="1" x14ac:dyDescent="0.2"/>
  </sheetData>
  <mergeCells count="3">
    <mergeCell ref="A1:B1"/>
    <mergeCell ref="C1:D1"/>
    <mergeCell ref="A3:B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5" sqref="C5"/>
    </sheetView>
  </sheetViews>
  <sheetFormatPr baseColWidth="10" defaultRowHeight="12.75" x14ac:dyDescent="0.2"/>
  <cols>
    <col min="1" max="1" width="16.7109375" customWidth="1"/>
    <col min="5" max="5" width="19.42578125" bestFit="1" customWidth="1"/>
  </cols>
  <sheetData>
    <row r="1" spans="1:6" ht="15.75" x14ac:dyDescent="0.2">
      <c r="A1" s="164" t="s">
        <v>0</v>
      </c>
      <c r="B1" s="164"/>
      <c r="C1" s="101"/>
      <c r="D1" s="165">
        <v>41439</v>
      </c>
      <c r="E1" s="164"/>
    </row>
    <row r="2" spans="1:6" ht="15" x14ac:dyDescent="0.2">
      <c r="A2" s="9"/>
    </row>
    <row r="3" spans="1:6" ht="15.75" x14ac:dyDescent="0.2">
      <c r="A3" s="173" t="s">
        <v>51</v>
      </c>
      <c r="B3" s="174"/>
      <c r="C3" s="103" t="s">
        <v>197</v>
      </c>
      <c r="D3" s="3" t="s">
        <v>2</v>
      </c>
      <c r="E3" s="3" t="s">
        <v>3</v>
      </c>
    </row>
    <row r="4" spans="1:6" ht="30" customHeight="1" x14ac:dyDescent="0.2">
      <c r="A4" s="170" t="s">
        <v>52</v>
      </c>
      <c r="B4" s="172"/>
      <c r="C4" s="102"/>
      <c r="D4" s="37">
        <v>0.7</v>
      </c>
      <c r="E4" s="7">
        <f>C4*D4</f>
        <v>0</v>
      </c>
    </row>
    <row r="5" spans="1:6" ht="30" customHeight="1" x14ac:dyDescent="0.2">
      <c r="A5" s="170" t="s">
        <v>53</v>
      </c>
      <c r="B5" s="172"/>
      <c r="C5" s="102">
        <v>5000</v>
      </c>
      <c r="D5" s="37">
        <v>0.79</v>
      </c>
      <c r="E5" s="7">
        <f>C5*D5</f>
        <v>3950</v>
      </c>
    </row>
    <row r="6" spans="1:6" ht="35.25" customHeight="1" x14ac:dyDescent="0.25">
      <c r="A6" s="170" t="s">
        <v>54</v>
      </c>
      <c r="B6" s="172"/>
      <c r="C6" s="102">
        <v>1500</v>
      </c>
      <c r="D6" s="37">
        <v>0.8</v>
      </c>
      <c r="E6" s="7">
        <f>C6*D6</f>
        <v>1200</v>
      </c>
      <c r="F6" s="35" t="s">
        <v>50</v>
      </c>
    </row>
    <row r="7" spans="1:6" ht="30" customHeight="1" x14ac:dyDescent="0.25">
      <c r="A7" s="170" t="s">
        <v>50</v>
      </c>
      <c r="B7" s="171"/>
      <c r="C7" s="171"/>
      <c r="D7" s="172"/>
      <c r="E7" s="7"/>
      <c r="F7" s="36">
        <f>E4+E5+E6</f>
        <v>5150</v>
      </c>
    </row>
    <row r="8" spans="1:6" ht="15" x14ac:dyDescent="0.2">
      <c r="A8" s="14"/>
      <c r="B8" s="14"/>
      <c r="C8" s="14"/>
      <c r="D8" s="9"/>
      <c r="E8" s="9"/>
    </row>
  </sheetData>
  <mergeCells count="7">
    <mergeCell ref="A7:D7"/>
    <mergeCell ref="A1:B1"/>
    <mergeCell ref="D1:E1"/>
    <mergeCell ref="A3:B3"/>
    <mergeCell ref="A4:B4"/>
    <mergeCell ref="A5:B5"/>
    <mergeCell ref="A6:B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C15" sqref="C15"/>
    </sheetView>
  </sheetViews>
  <sheetFormatPr baseColWidth="10" defaultRowHeight="12.75" x14ac:dyDescent="0.2"/>
  <cols>
    <col min="2" max="2" width="17.85546875" customWidth="1"/>
    <col min="3" max="3" width="19.140625" customWidth="1"/>
    <col min="5" max="5" width="3.28515625" customWidth="1"/>
  </cols>
  <sheetData>
    <row r="1" spans="1:13" x14ac:dyDescent="0.2">
      <c r="A1" s="175">
        <v>42177</v>
      </c>
      <c r="B1" s="176"/>
      <c r="C1" s="176"/>
      <c r="D1" s="176"/>
      <c r="E1" s="176"/>
      <c r="F1" s="176"/>
    </row>
    <row r="3" spans="1:13" ht="13.5" thickBot="1" x14ac:dyDescent="0.25">
      <c r="D3" s="25"/>
      <c r="E3" s="25"/>
      <c r="F3" s="25"/>
    </row>
    <row r="4" spans="1:13" ht="24" customHeight="1" x14ac:dyDescent="0.2">
      <c r="A4" s="39" t="s">
        <v>55</v>
      </c>
      <c r="B4" s="40" t="s">
        <v>56</v>
      </c>
      <c r="C4" s="41" t="s">
        <v>57</v>
      </c>
      <c r="D4" s="42" t="s">
        <v>163</v>
      </c>
      <c r="E4" s="25"/>
      <c r="F4" s="25"/>
      <c r="I4" t="s">
        <v>209</v>
      </c>
    </row>
    <row r="5" spans="1:13" ht="24" customHeight="1" x14ac:dyDescent="0.2">
      <c r="A5" s="96">
        <v>2014</v>
      </c>
      <c r="B5" s="97" t="s">
        <v>60</v>
      </c>
      <c r="C5" s="98">
        <f>92+132+66+82+55+55+130*52/200+95*20/200+150+150+225+225+175+125+175+125+125+125+125+40+174.5+167+208.25</f>
        <v>2840.05</v>
      </c>
      <c r="D5" s="42"/>
      <c r="E5" s="25"/>
      <c r="F5" s="47">
        <v>2014</v>
      </c>
    </row>
    <row r="6" spans="1:13" ht="24" customHeight="1" x14ac:dyDescent="0.2">
      <c r="A6" s="96"/>
      <c r="B6" s="97" t="s">
        <v>59</v>
      </c>
      <c r="C6" s="98"/>
      <c r="D6" s="42"/>
      <c r="E6" s="25"/>
      <c r="F6" s="48">
        <f>+SUM(C5:C8)</f>
        <v>2840.05</v>
      </c>
    </row>
    <row r="7" spans="1:13" ht="24" customHeight="1" x14ac:dyDescent="0.2">
      <c r="A7" s="96"/>
      <c r="B7" s="97" t="s">
        <v>61</v>
      </c>
      <c r="C7" s="98"/>
      <c r="D7" s="42"/>
      <c r="E7" s="25"/>
      <c r="F7" s="25"/>
    </row>
    <row r="8" spans="1:13" ht="24" customHeight="1" x14ac:dyDescent="0.2">
      <c r="A8" s="96"/>
      <c r="B8" s="97"/>
      <c r="C8" s="98"/>
      <c r="D8" s="42"/>
      <c r="E8" s="25"/>
      <c r="F8" s="25"/>
    </row>
    <row r="9" spans="1:13" ht="24" customHeight="1" x14ac:dyDescent="0.2">
      <c r="A9" s="96"/>
      <c r="B9" s="97"/>
      <c r="C9" s="98"/>
      <c r="D9" s="42"/>
      <c r="E9" s="25"/>
      <c r="F9" s="25"/>
    </row>
    <row r="10" spans="1:13" ht="24" customHeight="1" x14ac:dyDescent="0.2">
      <c r="A10" s="96"/>
      <c r="B10" s="97"/>
      <c r="C10" s="98"/>
      <c r="D10" s="42"/>
      <c r="E10" s="25"/>
      <c r="F10" s="25"/>
    </row>
    <row r="11" spans="1:13" ht="24" customHeight="1" x14ac:dyDescent="0.2">
      <c r="A11" s="44">
        <v>2013</v>
      </c>
      <c r="B11" s="45" t="s">
        <v>58</v>
      </c>
      <c r="C11" s="46"/>
      <c r="D11" s="42"/>
      <c r="E11" s="25"/>
      <c r="F11" s="47">
        <v>2013</v>
      </c>
      <c r="I11" t="s">
        <v>183</v>
      </c>
    </row>
    <row r="12" spans="1:13" ht="24" customHeight="1" x14ac:dyDescent="0.2">
      <c r="A12" s="44"/>
      <c r="B12" s="45" t="s">
        <v>59</v>
      </c>
      <c r="C12" s="46"/>
      <c r="D12" s="42"/>
      <c r="E12" s="25"/>
      <c r="F12" s="48">
        <f>+SUM(C11:C15)</f>
        <v>0</v>
      </c>
      <c r="I12">
        <v>120</v>
      </c>
      <c r="J12">
        <v>2.25</v>
      </c>
      <c r="K12">
        <f>+I12*J12</f>
        <v>270</v>
      </c>
      <c r="L12" t="s">
        <v>184</v>
      </c>
      <c r="M12" t="s">
        <v>210</v>
      </c>
    </row>
    <row r="13" spans="1:13" ht="24" customHeight="1" x14ac:dyDescent="0.2">
      <c r="A13" s="44"/>
      <c r="B13" s="45" t="s">
        <v>60</v>
      </c>
      <c r="C13" s="46"/>
      <c r="D13" s="99"/>
      <c r="E13" s="50"/>
      <c r="F13" s="50"/>
      <c r="G13" s="100"/>
      <c r="H13" s="100"/>
      <c r="I13">
        <v>0</v>
      </c>
      <c r="J13">
        <v>2.2799999999999998</v>
      </c>
      <c r="K13">
        <f>+I13*J13</f>
        <v>0</v>
      </c>
      <c r="L13" t="s">
        <v>184</v>
      </c>
    </row>
    <row r="14" spans="1:13" ht="24" customHeight="1" x14ac:dyDescent="0.2">
      <c r="A14" s="44"/>
      <c r="B14" s="45" t="s">
        <v>61</v>
      </c>
      <c r="C14" s="46"/>
      <c r="D14" s="42"/>
      <c r="E14" s="25"/>
      <c r="F14" s="25"/>
      <c r="I14">
        <v>12</v>
      </c>
      <c r="J14">
        <v>6</v>
      </c>
      <c r="K14">
        <f>+I14*J14</f>
        <v>72</v>
      </c>
      <c r="L14" t="s">
        <v>184</v>
      </c>
    </row>
    <row r="15" spans="1:13" ht="24" customHeight="1" x14ac:dyDescent="0.2">
      <c r="A15" s="44"/>
      <c r="B15" s="45" t="s">
        <v>161</v>
      </c>
      <c r="C15" s="46"/>
      <c r="D15" s="42"/>
      <c r="E15" s="25"/>
      <c r="F15" s="43"/>
      <c r="I15">
        <v>34</v>
      </c>
      <c r="J15">
        <v>5</v>
      </c>
      <c r="K15">
        <f>+I15*J15</f>
        <v>170</v>
      </c>
      <c r="L15" t="s">
        <v>184</v>
      </c>
    </row>
    <row r="16" spans="1:13" ht="24" customHeight="1" x14ac:dyDescent="0.2">
      <c r="A16" s="96"/>
      <c r="B16" s="97"/>
      <c r="C16" s="98"/>
      <c r="D16" s="42"/>
      <c r="E16" s="25"/>
      <c r="F16" s="25"/>
      <c r="J16" t="s">
        <v>185</v>
      </c>
      <c r="K16">
        <v>509.75</v>
      </c>
      <c r="L16" t="s">
        <v>184</v>
      </c>
    </row>
    <row r="17" spans="1:12" ht="24" customHeight="1" x14ac:dyDescent="0.2">
      <c r="A17" s="44">
        <v>2012</v>
      </c>
      <c r="B17" s="45" t="s">
        <v>58</v>
      </c>
      <c r="C17" s="46"/>
      <c r="D17" s="42"/>
      <c r="E17" s="25"/>
      <c r="F17" s="47">
        <v>2012</v>
      </c>
      <c r="I17" t="s">
        <v>186</v>
      </c>
    </row>
    <row r="18" spans="1:12" ht="24" customHeight="1" x14ac:dyDescent="0.2">
      <c r="A18" s="44"/>
      <c r="B18" s="45" t="s">
        <v>59</v>
      </c>
      <c r="C18" s="46"/>
      <c r="D18" s="42"/>
      <c r="E18" s="25"/>
      <c r="F18" s="48">
        <f>+SUM(C17:C21)</f>
        <v>0</v>
      </c>
      <c r="J18">
        <f>+C5-K16</f>
        <v>2330.3000000000002</v>
      </c>
      <c r="L18">
        <f>+J18+K16</f>
        <v>2840.05</v>
      </c>
    </row>
    <row r="19" spans="1:12" ht="24" customHeight="1" x14ac:dyDescent="0.2">
      <c r="A19" s="44"/>
      <c r="B19" s="45" t="s">
        <v>60</v>
      </c>
      <c r="C19" s="46"/>
      <c r="D19" s="42"/>
      <c r="E19" s="25"/>
      <c r="F19" s="25"/>
    </row>
    <row r="20" spans="1:12" ht="24" customHeight="1" x14ac:dyDescent="0.2">
      <c r="A20" s="44"/>
      <c r="B20" s="45" t="s">
        <v>61</v>
      </c>
      <c r="C20" s="46"/>
      <c r="D20" s="42"/>
      <c r="E20" s="25"/>
      <c r="F20" s="25"/>
    </row>
    <row r="21" spans="1:12" ht="24" customHeight="1" x14ac:dyDescent="0.2">
      <c r="A21" s="44"/>
      <c r="B21" s="45" t="s">
        <v>161</v>
      </c>
      <c r="C21" s="46"/>
      <c r="D21" s="42"/>
      <c r="E21" s="25"/>
      <c r="F21" s="43"/>
    </row>
    <row r="22" spans="1:12" ht="24" customHeight="1" x14ac:dyDescent="0.2">
      <c r="A22" s="44"/>
      <c r="B22" s="45"/>
      <c r="C22" s="46"/>
      <c r="D22" s="42"/>
      <c r="E22" s="25"/>
      <c r="F22" s="43"/>
    </row>
    <row r="23" spans="1:12" ht="24" customHeight="1" x14ac:dyDescent="0.2">
      <c r="A23" s="44">
        <v>2010</v>
      </c>
      <c r="B23" s="45" t="s">
        <v>58</v>
      </c>
      <c r="C23" s="46">
        <v>0</v>
      </c>
      <c r="D23" s="42"/>
      <c r="E23" s="25"/>
      <c r="F23" s="47">
        <v>2010</v>
      </c>
    </row>
    <row r="24" spans="1:12" ht="24" customHeight="1" x14ac:dyDescent="0.2">
      <c r="A24" s="44"/>
      <c r="B24" s="45" t="s">
        <v>59</v>
      </c>
      <c r="C24" s="46">
        <v>0</v>
      </c>
      <c r="D24" s="42"/>
      <c r="E24" s="25"/>
      <c r="F24" s="48">
        <f>+SUM(C23:C26)</f>
        <v>0</v>
      </c>
    </row>
    <row r="25" spans="1:12" ht="24" customHeight="1" x14ac:dyDescent="0.2">
      <c r="A25" s="44"/>
      <c r="B25" s="45" t="s">
        <v>60</v>
      </c>
      <c r="C25" s="46">
        <v>0</v>
      </c>
      <c r="D25" s="42"/>
      <c r="E25" s="25"/>
      <c r="F25" s="43"/>
    </row>
    <row r="26" spans="1:12" ht="24" customHeight="1" x14ac:dyDescent="0.2">
      <c r="A26" s="44"/>
      <c r="B26" s="45" t="s">
        <v>61</v>
      </c>
      <c r="C26" s="46">
        <v>0</v>
      </c>
      <c r="D26" s="42"/>
      <c r="E26" s="25"/>
      <c r="F26" s="43"/>
    </row>
    <row r="27" spans="1:12" ht="24" customHeight="1" x14ac:dyDescent="0.2">
      <c r="A27" s="44"/>
      <c r="B27" s="45"/>
      <c r="C27" s="46"/>
      <c r="D27" s="42"/>
      <c r="E27" s="25"/>
      <c r="F27" s="43"/>
    </row>
    <row r="28" spans="1:12" ht="24" customHeight="1" x14ac:dyDescent="0.2">
      <c r="A28" s="44">
        <v>2009</v>
      </c>
      <c r="B28" s="49" t="s">
        <v>62</v>
      </c>
      <c r="C28" s="46"/>
      <c r="D28" s="50"/>
      <c r="E28" s="51"/>
      <c r="F28" s="47">
        <v>2009</v>
      </c>
    </row>
    <row r="29" spans="1:12" ht="24" customHeight="1" x14ac:dyDescent="0.2">
      <c r="A29" s="44"/>
      <c r="B29" s="49" t="s">
        <v>63</v>
      </c>
      <c r="C29" s="46"/>
      <c r="D29" s="50"/>
      <c r="E29" s="51"/>
      <c r="F29" s="48">
        <f>+SUM(C28:C31)</f>
        <v>0</v>
      </c>
    </row>
    <row r="30" spans="1:12" ht="24" customHeight="1" x14ac:dyDescent="0.2">
      <c r="A30" s="44"/>
      <c r="B30" s="49" t="s">
        <v>64</v>
      </c>
      <c r="C30" s="46"/>
      <c r="D30" s="50"/>
      <c r="E30" s="51"/>
      <c r="F30" s="43"/>
    </row>
    <row r="31" spans="1:12" ht="24" customHeight="1" x14ac:dyDescent="0.2">
      <c r="A31" s="44"/>
      <c r="B31" s="49" t="s">
        <v>65</v>
      </c>
      <c r="C31" s="52"/>
      <c r="D31" s="50"/>
      <c r="E31" s="51"/>
      <c r="F31" s="43"/>
    </row>
    <row r="32" spans="1:12" ht="24" customHeight="1" x14ac:dyDescent="0.2">
      <c r="A32" s="44"/>
      <c r="B32" s="49"/>
      <c r="C32" s="46"/>
      <c r="D32" s="50"/>
      <c r="E32" s="51"/>
      <c r="F32" s="53"/>
    </row>
    <row r="33" spans="1:6" ht="24" customHeight="1" x14ac:dyDescent="0.2">
      <c r="A33" s="44">
        <v>2008</v>
      </c>
      <c r="B33" s="38" t="s">
        <v>66</v>
      </c>
      <c r="C33" s="82"/>
      <c r="D33" s="54"/>
      <c r="E33" s="55"/>
      <c r="F33" s="53"/>
    </row>
    <row r="34" spans="1:6" ht="24" customHeight="1" x14ac:dyDescent="0.2">
      <c r="A34" s="56">
        <v>2009</v>
      </c>
      <c r="B34" s="57" t="s">
        <v>66</v>
      </c>
      <c r="C34" s="83"/>
      <c r="D34" s="50"/>
      <c r="E34" s="51"/>
    </row>
    <row r="35" spans="1:6" ht="24" customHeight="1" x14ac:dyDescent="0.2">
      <c r="A35" s="56">
        <v>2010</v>
      </c>
      <c r="B35" s="57" t="s">
        <v>162</v>
      </c>
      <c r="C35" s="83"/>
      <c r="D35" s="50"/>
      <c r="E35" s="51"/>
    </row>
    <row r="36" spans="1:6" ht="27" customHeight="1" thickBot="1" x14ac:dyDescent="0.25">
      <c r="A36" s="58">
        <v>2011</v>
      </c>
      <c r="B36" s="59" t="s">
        <v>162</v>
      </c>
      <c r="C36" s="84"/>
      <c r="D36" s="25"/>
      <c r="E36" s="51"/>
    </row>
    <row r="37" spans="1:6" ht="24" customHeight="1" x14ac:dyDescent="0.2">
      <c r="D37" s="25"/>
      <c r="E37" s="51"/>
      <c r="F37" s="53"/>
    </row>
    <row r="38" spans="1:6" ht="24" customHeight="1" x14ac:dyDescent="0.2">
      <c r="D38" s="25"/>
      <c r="E38" s="51"/>
      <c r="F38" s="54"/>
    </row>
    <row r="39" spans="1:6" x14ac:dyDescent="0.2">
      <c r="F39" s="50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44"/>
  <sheetViews>
    <sheetView topLeftCell="A63" zoomScaleNormal="100" workbookViewId="0">
      <selection activeCell="D63" sqref="D63"/>
    </sheetView>
  </sheetViews>
  <sheetFormatPr baseColWidth="10" defaultRowHeight="12.75" x14ac:dyDescent="0.2"/>
  <cols>
    <col min="2" max="2" width="18.85546875" bestFit="1" customWidth="1"/>
    <col min="3" max="3" width="47.42578125" customWidth="1"/>
    <col min="4" max="4" width="21.28515625" customWidth="1"/>
    <col min="5" max="5" width="21" customWidth="1"/>
    <col min="7" max="7" width="23.7109375" style="125" customWidth="1"/>
  </cols>
  <sheetData>
    <row r="1" spans="1:6" ht="27.75" x14ac:dyDescent="0.2">
      <c r="A1" s="177" t="s">
        <v>395</v>
      </c>
      <c r="B1" s="177"/>
      <c r="C1" s="177"/>
      <c r="D1" s="138"/>
      <c r="E1" s="60"/>
    </row>
    <row r="2" spans="1:6" x14ac:dyDescent="0.2">
      <c r="A2" s="61"/>
      <c r="B2" s="62"/>
      <c r="C2" s="62"/>
      <c r="D2" s="143">
        <v>42177</v>
      </c>
      <c r="E2" s="63">
        <v>41627</v>
      </c>
      <c r="F2" s="63">
        <v>41991</v>
      </c>
    </row>
    <row r="3" spans="1:6" ht="15" customHeight="1" x14ac:dyDescent="0.2">
      <c r="A3" s="64" t="s">
        <v>67</v>
      </c>
      <c r="B3" s="64" t="s">
        <v>68</v>
      </c>
      <c r="C3" s="89" t="s">
        <v>69</v>
      </c>
      <c r="D3" s="148" t="s">
        <v>7</v>
      </c>
      <c r="E3" s="148" t="s">
        <v>7</v>
      </c>
      <c r="F3" s="90"/>
    </row>
    <row r="4" spans="1:6" ht="15" customHeight="1" x14ac:dyDescent="0.2">
      <c r="A4" s="65">
        <v>1982</v>
      </c>
      <c r="B4" s="66" t="s">
        <v>70</v>
      </c>
      <c r="C4" s="144" t="s">
        <v>71</v>
      </c>
      <c r="D4" s="149">
        <f>23*6+3</f>
        <v>141</v>
      </c>
      <c r="E4" s="149">
        <f>23*6+3</f>
        <v>141</v>
      </c>
      <c r="F4" s="21">
        <f>23*6+3</f>
        <v>141</v>
      </c>
    </row>
    <row r="5" spans="1:6" ht="15" customHeight="1" x14ac:dyDescent="0.2">
      <c r="A5" s="65">
        <v>1982</v>
      </c>
      <c r="B5" s="66" t="s">
        <v>72</v>
      </c>
      <c r="C5" s="144" t="s">
        <v>73</v>
      </c>
      <c r="D5" s="150">
        <f>18*6+3</f>
        <v>111</v>
      </c>
      <c r="E5" s="150">
        <f>18*6+3</f>
        <v>111</v>
      </c>
      <c r="F5" s="21">
        <f>18*6+3</f>
        <v>111</v>
      </c>
    </row>
    <row r="6" spans="1:6" ht="15" customHeight="1" x14ac:dyDescent="0.2">
      <c r="A6" s="65">
        <v>1984</v>
      </c>
      <c r="B6" s="66" t="s">
        <v>74</v>
      </c>
      <c r="C6" s="144" t="s">
        <v>75</v>
      </c>
      <c r="D6" s="150">
        <f>24*6+3</f>
        <v>147</v>
      </c>
      <c r="E6" s="150">
        <f>24*6+3</f>
        <v>147</v>
      </c>
      <c r="F6" s="21">
        <f>24*6+3</f>
        <v>147</v>
      </c>
    </row>
    <row r="7" spans="1:6" ht="15" customHeight="1" x14ac:dyDescent="0.2">
      <c r="A7" s="65">
        <v>1984</v>
      </c>
      <c r="B7" s="66" t="s">
        <v>76</v>
      </c>
      <c r="C7" s="144" t="s">
        <v>77</v>
      </c>
      <c r="D7" s="150">
        <f>6*6+2</f>
        <v>38</v>
      </c>
      <c r="E7" s="150">
        <f>6*6+2</f>
        <v>38</v>
      </c>
      <c r="F7" s="21">
        <v>38</v>
      </c>
    </row>
    <row r="8" spans="1:6" ht="15" customHeight="1" x14ac:dyDescent="0.2">
      <c r="A8" s="65">
        <v>1985</v>
      </c>
      <c r="B8" s="66" t="s">
        <v>78</v>
      </c>
      <c r="C8" s="144" t="s">
        <v>79</v>
      </c>
      <c r="D8" s="150">
        <v>7</v>
      </c>
      <c r="E8" s="150">
        <v>7</v>
      </c>
      <c r="F8" s="21">
        <v>7</v>
      </c>
    </row>
    <row r="9" spans="1:6" ht="15" customHeight="1" x14ac:dyDescent="0.2">
      <c r="A9" s="65">
        <v>1985</v>
      </c>
      <c r="B9" s="66" t="s">
        <v>80</v>
      </c>
      <c r="C9" s="144" t="s">
        <v>81</v>
      </c>
      <c r="D9" s="150">
        <f>20*6+16</f>
        <v>136</v>
      </c>
      <c r="E9" s="150">
        <f>20*6+16</f>
        <v>136</v>
      </c>
      <c r="F9" s="21">
        <f>22*6+4</f>
        <v>136</v>
      </c>
    </row>
    <row r="10" spans="1:6" ht="15" customHeight="1" x14ac:dyDescent="0.2">
      <c r="A10" s="65">
        <v>1986</v>
      </c>
      <c r="B10" s="66" t="s">
        <v>82</v>
      </c>
      <c r="C10" s="144" t="s">
        <v>83</v>
      </c>
      <c r="D10" s="150">
        <f>14*6+1</f>
        <v>85</v>
      </c>
      <c r="E10" s="150">
        <f>14*6+1</f>
        <v>85</v>
      </c>
      <c r="F10" s="21">
        <f>14*6+1</f>
        <v>85</v>
      </c>
    </row>
    <row r="11" spans="1:6" ht="15" customHeight="1" x14ac:dyDescent="0.2">
      <c r="A11" s="65">
        <v>1986</v>
      </c>
      <c r="B11" s="66" t="s">
        <v>84</v>
      </c>
      <c r="C11" s="144" t="s">
        <v>85</v>
      </c>
      <c r="D11" s="150">
        <v>6</v>
      </c>
      <c r="E11" s="150">
        <v>6</v>
      </c>
      <c r="F11" s="21">
        <v>6</v>
      </c>
    </row>
    <row r="12" spans="1:6" ht="15" customHeight="1" x14ac:dyDescent="0.2">
      <c r="A12" s="65">
        <v>1986</v>
      </c>
      <c r="B12" s="66" t="s">
        <v>86</v>
      </c>
      <c r="C12" s="144" t="s">
        <v>87</v>
      </c>
      <c r="D12" s="150">
        <v>57</v>
      </c>
      <c r="E12" s="150">
        <v>57</v>
      </c>
      <c r="F12" s="21">
        <f>6*9+3</f>
        <v>57</v>
      </c>
    </row>
    <row r="13" spans="1:6" ht="15" customHeight="1" x14ac:dyDescent="0.2">
      <c r="A13" s="65">
        <v>1988</v>
      </c>
      <c r="B13" s="66" t="s">
        <v>88</v>
      </c>
      <c r="C13" s="144" t="s">
        <v>89</v>
      </c>
      <c r="D13" s="150">
        <v>16</v>
      </c>
      <c r="E13" s="150">
        <v>16</v>
      </c>
      <c r="F13" s="21">
        <f>12+5</f>
        <v>17</v>
      </c>
    </row>
    <row r="14" spans="1:6" ht="15" customHeight="1" x14ac:dyDescent="0.2">
      <c r="A14" s="65">
        <v>1988</v>
      </c>
      <c r="B14" s="66" t="s">
        <v>90</v>
      </c>
      <c r="C14" s="144" t="s">
        <v>91</v>
      </c>
      <c r="D14" s="150">
        <v>60</v>
      </c>
      <c r="E14" s="150">
        <v>60</v>
      </c>
      <c r="F14" s="21">
        <v>60</v>
      </c>
    </row>
    <row r="15" spans="1:6" ht="15" customHeight="1" x14ac:dyDescent="0.2">
      <c r="A15" s="65">
        <v>1989</v>
      </c>
      <c r="B15" s="66" t="s">
        <v>92</v>
      </c>
      <c r="C15" s="144" t="s">
        <v>93</v>
      </c>
      <c r="D15" s="150">
        <v>2</v>
      </c>
      <c r="E15" s="150">
        <v>2</v>
      </c>
      <c r="F15" s="21">
        <v>2</v>
      </c>
    </row>
    <row r="16" spans="1:6" ht="15" customHeight="1" x14ac:dyDescent="0.2">
      <c r="A16" s="65">
        <v>1990</v>
      </c>
      <c r="B16" s="66" t="s">
        <v>94</v>
      </c>
      <c r="C16" s="144" t="s">
        <v>95</v>
      </c>
      <c r="D16" s="150">
        <v>7</v>
      </c>
      <c r="E16" s="150">
        <v>7</v>
      </c>
      <c r="F16" s="21">
        <v>7</v>
      </c>
    </row>
    <row r="17" spans="1:7" ht="15" customHeight="1" x14ac:dyDescent="0.2">
      <c r="A17" s="65">
        <v>1991</v>
      </c>
      <c r="B17" s="66" t="s">
        <v>96</v>
      </c>
      <c r="C17" s="144" t="s">
        <v>97</v>
      </c>
      <c r="D17" s="150">
        <f>13*6</f>
        <v>78</v>
      </c>
      <c r="E17" s="150">
        <f>13*6</f>
        <v>78</v>
      </c>
      <c r="F17" s="21">
        <f>13*6</f>
        <v>78</v>
      </c>
      <c r="G17" s="125">
        <v>6</v>
      </c>
    </row>
    <row r="18" spans="1:7" ht="15" customHeight="1" x14ac:dyDescent="0.2">
      <c r="A18" s="65">
        <v>1993</v>
      </c>
      <c r="B18" s="66" t="s">
        <v>98</v>
      </c>
      <c r="C18" s="144" t="s">
        <v>99</v>
      </c>
      <c r="D18" s="150">
        <f>15*6+1</f>
        <v>91</v>
      </c>
      <c r="E18" s="150">
        <f>15*6+1</f>
        <v>91</v>
      </c>
      <c r="F18" s="21">
        <v>91</v>
      </c>
      <c r="G18" s="125">
        <v>19</v>
      </c>
    </row>
    <row r="19" spans="1:7" ht="15" customHeight="1" x14ac:dyDescent="0.2">
      <c r="A19" s="65">
        <v>1993</v>
      </c>
      <c r="B19" s="66" t="s">
        <v>100</v>
      </c>
      <c r="C19" s="144" t="s">
        <v>101</v>
      </c>
      <c r="D19" s="150">
        <v>11</v>
      </c>
      <c r="E19" s="150">
        <v>11</v>
      </c>
      <c r="F19" s="21">
        <v>11</v>
      </c>
    </row>
    <row r="20" spans="1:7" ht="15" customHeight="1" x14ac:dyDescent="0.2">
      <c r="A20" s="65">
        <v>1994</v>
      </c>
      <c r="B20" s="66" t="s">
        <v>102</v>
      </c>
      <c r="C20" s="144" t="s">
        <v>103</v>
      </c>
      <c r="D20" s="150">
        <v>21</v>
      </c>
      <c r="E20" s="150">
        <v>21</v>
      </c>
      <c r="F20" s="21">
        <v>21</v>
      </c>
    </row>
    <row r="21" spans="1:7" ht="15" customHeight="1" x14ac:dyDescent="0.2">
      <c r="A21" s="65">
        <v>1994</v>
      </c>
      <c r="B21" s="66" t="s">
        <v>104</v>
      </c>
      <c r="C21" s="144" t="s">
        <v>105</v>
      </c>
      <c r="D21" s="150">
        <f>14*6+1</f>
        <v>85</v>
      </c>
      <c r="E21" s="150">
        <f>14*6+1</f>
        <v>85</v>
      </c>
      <c r="F21" s="21">
        <f>7*6+1+7*6</f>
        <v>85</v>
      </c>
    </row>
    <row r="22" spans="1:7" ht="15" customHeight="1" x14ac:dyDescent="0.2">
      <c r="A22" s="65">
        <v>1994</v>
      </c>
      <c r="B22" s="66" t="s">
        <v>106</v>
      </c>
      <c r="C22" s="144" t="s">
        <v>107</v>
      </c>
      <c r="D22" s="150">
        <v>20</v>
      </c>
      <c r="E22" s="150">
        <v>20</v>
      </c>
      <c r="F22" s="30">
        <v>20</v>
      </c>
    </row>
    <row r="23" spans="1:7" ht="15" customHeight="1" x14ac:dyDescent="0.2">
      <c r="A23" s="65">
        <v>1995</v>
      </c>
      <c r="B23" s="66" t="s">
        <v>108</v>
      </c>
      <c r="C23" s="144" t="s">
        <v>109</v>
      </c>
      <c r="D23" s="150">
        <f>7*6</f>
        <v>42</v>
      </c>
      <c r="E23" s="150">
        <f>7*6</f>
        <v>42</v>
      </c>
      <c r="F23" s="21">
        <v>42</v>
      </c>
    </row>
    <row r="24" spans="1:7" ht="15" customHeight="1" x14ac:dyDescent="0.2">
      <c r="A24" s="65">
        <v>1995</v>
      </c>
      <c r="B24" s="66" t="s">
        <v>110</v>
      </c>
      <c r="C24" s="144" t="s">
        <v>111</v>
      </c>
      <c r="D24" s="150">
        <v>12</v>
      </c>
      <c r="E24" s="150">
        <v>12</v>
      </c>
      <c r="F24" s="21">
        <v>12</v>
      </c>
    </row>
    <row r="25" spans="1:7" ht="15" customHeight="1" x14ac:dyDescent="0.2">
      <c r="A25" s="65">
        <v>1996</v>
      </c>
      <c r="B25" s="66" t="s">
        <v>112</v>
      </c>
      <c r="C25" s="144" t="s">
        <v>113</v>
      </c>
      <c r="D25" s="150">
        <v>27</v>
      </c>
      <c r="E25" s="150">
        <v>27</v>
      </c>
      <c r="F25" s="21">
        <v>27</v>
      </c>
    </row>
    <row r="26" spans="1:7" ht="15" customHeight="1" x14ac:dyDescent="0.2">
      <c r="A26" s="65">
        <v>1998</v>
      </c>
      <c r="B26" s="66" t="s">
        <v>114</v>
      </c>
      <c r="C26" s="144" t="s">
        <v>164</v>
      </c>
      <c r="D26" s="150">
        <f>9*6</f>
        <v>54</v>
      </c>
      <c r="E26" s="150">
        <f>9*6</f>
        <v>54</v>
      </c>
      <c r="F26" s="21">
        <v>54</v>
      </c>
    </row>
    <row r="27" spans="1:7" ht="15" customHeight="1" x14ac:dyDescent="0.2">
      <c r="A27" s="65">
        <v>1998</v>
      </c>
      <c r="B27" s="66" t="s">
        <v>115</v>
      </c>
      <c r="C27" s="144" t="s">
        <v>116</v>
      </c>
      <c r="D27" s="150">
        <f>26*6+1</f>
        <v>157</v>
      </c>
      <c r="E27" s="150">
        <f>26*6+1</f>
        <v>157</v>
      </c>
      <c r="F27" s="21">
        <f>26*6+1</f>
        <v>157</v>
      </c>
    </row>
    <row r="28" spans="1:7" ht="15" customHeight="1" x14ac:dyDescent="0.2">
      <c r="A28" s="65">
        <v>1998</v>
      </c>
      <c r="B28" s="66" t="s">
        <v>117</v>
      </c>
      <c r="C28" s="144" t="s">
        <v>118</v>
      </c>
      <c r="D28" s="150">
        <v>12</v>
      </c>
      <c r="E28" s="150">
        <v>12</v>
      </c>
      <c r="F28" s="21">
        <v>12</v>
      </c>
    </row>
    <row r="29" spans="1:7" ht="15" customHeight="1" x14ac:dyDescent="0.2">
      <c r="A29" s="65">
        <v>1999</v>
      </c>
      <c r="B29" s="66" t="s">
        <v>119</v>
      </c>
      <c r="C29" s="144" t="s">
        <v>120</v>
      </c>
      <c r="D29" s="150">
        <v>3</v>
      </c>
      <c r="E29" s="150">
        <v>3</v>
      </c>
      <c r="F29" s="21">
        <v>3</v>
      </c>
    </row>
    <row r="30" spans="1:7" ht="15" customHeight="1" x14ac:dyDescent="0.2">
      <c r="A30" s="65">
        <v>2000</v>
      </c>
      <c r="B30" s="66" t="s">
        <v>121</v>
      </c>
      <c r="C30" s="144" t="s">
        <v>122</v>
      </c>
      <c r="D30" s="150">
        <f>24-1</f>
        <v>23</v>
      </c>
      <c r="E30" s="150">
        <f>24-1</f>
        <v>23</v>
      </c>
      <c r="F30" s="21">
        <v>23</v>
      </c>
    </row>
    <row r="31" spans="1:7" ht="15" customHeight="1" x14ac:dyDescent="0.2">
      <c r="A31" s="65">
        <v>2001</v>
      </c>
      <c r="B31" s="66" t="s">
        <v>123</v>
      </c>
      <c r="C31" s="144" t="s">
        <v>124</v>
      </c>
      <c r="D31" s="150">
        <f>15*6+5</f>
        <v>95</v>
      </c>
      <c r="E31" s="150">
        <f>15*6+5</f>
        <v>95</v>
      </c>
      <c r="F31" s="21">
        <f>15*6+5</f>
        <v>95</v>
      </c>
    </row>
    <row r="32" spans="1:7" ht="15" customHeight="1" x14ac:dyDescent="0.2">
      <c r="A32" s="65">
        <v>2001</v>
      </c>
      <c r="B32" s="66" t="s">
        <v>125</v>
      </c>
      <c r="C32" s="144" t="s">
        <v>126</v>
      </c>
      <c r="D32" s="150">
        <v>24</v>
      </c>
      <c r="E32" s="150">
        <v>24</v>
      </c>
      <c r="F32" s="21">
        <v>24</v>
      </c>
    </row>
    <row r="33" spans="1:6" ht="5.0999999999999996" customHeight="1" x14ac:dyDescent="0.2">
      <c r="A33" s="67"/>
      <c r="B33" s="68"/>
      <c r="C33" s="91"/>
      <c r="D33" s="151"/>
      <c r="E33" s="151"/>
      <c r="F33" s="92"/>
    </row>
    <row r="34" spans="1:6" ht="15" customHeight="1" x14ac:dyDescent="0.2">
      <c r="A34" s="65">
        <v>2003</v>
      </c>
      <c r="B34" s="66" t="s">
        <v>127</v>
      </c>
      <c r="C34" s="144" t="s">
        <v>128</v>
      </c>
      <c r="D34" s="150">
        <f>27*6</f>
        <v>162</v>
      </c>
      <c r="E34" s="150">
        <f>27*6</f>
        <v>162</v>
      </c>
      <c r="F34" s="21">
        <f>66+16*6</f>
        <v>162</v>
      </c>
    </row>
    <row r="35" spans="1:6" ht="15" customHeight="1" x14ac:dyDescent="0.2">
      <c r="A35" s="65">
        <v>2003</v>
      </c>
      <c r="B35" s="66" t="s">
        <v>129</v>
      </c>
      <c r="C35" s="144" t="s">
        <v>130</v>
      </c>
      <c r="D35" s="150">
        <f>8*6+5</f>
        <v>53</v>
      </c>
      <c r="E35" s="150">
        <f>8*6+5</f>
        <v>53</v>
      </c>
      <c r="F35" s="21">
        <f>8*6+5</f>
        <v>53</v>
      </c>
    </row>
    <row r="36" spans="1:6" ht="5.0999999999999996" customHeight="1" x14ac:dyDescent="0.2">
      <c r="A36" s="69"/>
      <c r="B36" s="70"/>
      <c r="C36" s="139"/>
      <c r="D36" s="151"/>
      <c r="E36" s="151"/>
      <c r="F36" s="92"/>
    </row>
    <row r="37" spans="1:6" ht="15" customHeight="1" x14ac:dyDescent="0.2">
      <c r="A37" s="65">
        <v>2004</v>
      </c>
      <c r="B37" s="66" t="s">
        <v>131</v>
      </c>
      <c r="C37" s="144" t="s">
        <v>132</v>
      </c>
      <c r="D37" s="150">
        <f>38*6</f>
        <v>228</v>
      </c>
      <c r="E37" s="150">
        <f>38*6</f>
        <v>228</v>
      </c>
      <c r="F37" s="21">
        <f>38*6</f>
        <v>228</v>
      </c>
    </row>
    <row r="38" spans="1:6" ht="15" customHeight="1" x14ac:dyDescent="0.2">
      <c r="A38" s="65">
        <v>2004</v>
      </c>
      <c r="B38" s="66" t="s">
        <v>133</v>
      </c>
      <c r="C38" s="144" t="s">
        <v>134</v>
      </c>
      <c r="D38" s="150">
        <v>31</v>
      </c>
      <c r="E38" s="150">
        <v>31</v>
      </c>
      <c r="F38" s="21">
        <v>31</v>
      </c>
    </row>
    <row r="39" spans="1:6" ht="15" customHeight="1" x14ac:dyDescent="0.2">
      <c r="A39" s="65">
        <v>2004</v>
      </c>
      <c r="B39" s="66" t="s">
        <v>135</v>
      </c>
      <c r="C39" s="144" t="s">
        <v>136</v>
      </c>
      <c r="D39" s="150">
        <f>48*6+1</f>
        <v>289</v>
      </c>
      <c r="E39" s="150">
        <f>48*6+1</f>
        <v>289</v>
      </c>
      <c r="F39" s="21">
        <f>48*6+1</f>
        <v>289</v>
      </c>
    </row>
    <row r="40" spans="1:6" ht="5.0999999999999996" customHeight="1" x14ac:dyDescent="0.2">
      <c r="A40" s="71"/>
      <c r="B40" s="72"/>
      <c r="C40" s="140"/>
      <c r="D40" s="151"/>
      <c r="E40" s="151"/>
      <c r="F40" s="92"/>
    </row>
    <row r="41" spans="1:6" ht="15" customHeight="1" x14ac:dyDescent="0.2">
      <c r="A41" s="65">
        <v>2005</v>
      </c>
      <c r="B41" s="73" t="s">
        <v>137</v>
      </c>
      <c r="C41" s="145" t="s">
        <v>138</v>
      </c>
      <c r="D41" s="150">
        <f>43*6-1-1</f>
        <v>256</v>
      </c>
      <c r="E41" s="150">
        <f>43*6-1-1</f>
        <v>256</v>
      </c>
      <c r="F41" s="21">
        <f>42*6+4</f>
        <v>256</v>
      </c>
    </row>
    <row r="42" spans="1:6" ht="15" customHeight="1" x14ac:dyDescent="0.2">
      <c r="A42" s="65">
        <v>2005</v>
      </c>
      <c r="B42" s="66"/>
      <c r="C42" s="144" t="s">
        <v>139</v>
      </c>
      <c r="D42" s="150">
        <v>17</v>
      </c>
      <c r="E42" s="150">
        <v>17</v>
      </c>
      <c r="F42" s="21">
        <v>17</v>
      </c>
    </row>
    <row r="43" spans="1:6" ht="15" customHeight="1" x14ac:dyDescent="0.2">
      <c r="A43" s="65">
        <v>2005</v>
      </c>
      <c r="B43" s="66" t="s">
        <v>140</v>
      </c>
      <c r="C43" s="144" t="s">
        <v>141</v>
      </c>
      <c r="D43" s="150">
        <f>49*6+1</f>
        <v>295</v>
      </c>
      <c r="E43" s="150">
        <f>49*6+1</f>
        <v>295</v>
      </c>
      <c r="F43" s="21">
        <f>49*6+1</f>
        <v>295</v>
      </c>
    </row>
    <row r="44" spans="1:6" ht="5.0999999999999996" customHeight="1" x14ac:dyDescent="0.2">
      <c r="A44" s="71"/>
      <c r="B44" s="72"/>
      <c r="C44" s="140"/>
      <c r="D44" s="152"/>
      <c r="E44" s="152"/>
      <c r="F44" s="91"/>
    </row>
    <row r="45" spans="1:6" ht="15" customHeight="1" x14ac:dyDescent="0.2">
      <c r="A45" s="65">
        <v>2006</v>
      </c>
      <c r="B45" s="73" t="s">
        <v>142</v>
      </c>
      <c r="C45" s="145" t="s">
        <v>143</v>
      </c>
      <c r="D45" s="150">
        <v>4</v>
      </c>
      <c r="E45" s="150">
        <v>4</v>
      </c>
      <c r="F45" s="21">
        <v>4</v>
      </c>
    </row>
    <row r="46" spans="1:6" ht="15" customHeight="1" x14ac:dyDescent="0.2">
      <c r="A46" s="65">
        <v>2006</v>
      </c>
      <c r="B46" s="74" t="s">
        <v>144</v>
      </c>
      <c r="C46" s="145" t="s">
        <v>145</v>
      </c>
      <c r="D46" s="150">
        <f>49*6-1</f>
        <v>293</v>
      </c>
      <c r="E46" s="150">
        <f>49*6-1</f>
        <v>293</v>
      </c>
      <c r="F46" s="21">
        <v>293</v>
      </c>
    </row>
    <row r="47" spans="1:6" ht="15" customHeight="1" x14ac:dyDescent="0.2">
      <c r="A47" s="65">
        <v>2006</v>
      </c>
      <c r="B47" s="74" t="s">
        <v>146</v>
      </c>
      <c r="C47" s="145" t="s">
        <v>147</v>
      </c>
      <c r="D47" s="150">
        <f>40*6-2-1</f>
        <v>237</v>
      </c>
      <c r="E47" s="150">
        <f>40*6-2-1</f>
        <v>237</v>
      </c>
      <c r="F47" s="21">
        <f>40*6-3</f>
        <v>237</v>
      </c>
    </row>
    <row r="48" spans="1:6" ht="15" customHeight="1" x14ac:dyDescent="0.2">
      <c r="A48" s="65">
        <v>2006</v>
      </c>
      <c r="B48" s="74" t="s">
        <v>148</v>
      </c>
      <c r="C48" s="145" t="s">
        <v>149</v>
      </c>
      <c r="D48" s="150">
        <v>4</v>
      </c>
      <c r="E48" s="150">
        <v>4</v>
      </c>
      <c r="F48" s="21">
        <v>4</v>
      </c>
    </row>
    <row r="49" spans="1:7" ht="5.0999999999999996" customHeight="1" x14ac:dyDescent="0.2">
      <c r="A49" s="71"/>
      <c r="B49" s="72"/>
      <c r="C49" s="140"/>
      <c r="D49" s="152"/>
      <c r="E49" s="152"/>
      <c r="F49" s="91"/>
    </row>
    <row r="50" spans="1:7" ht="15" customHeight="1" x14ac:dyDescent="0.2">
      <c r="A50" s="75">
        <v>2007</v>
      </c>
      <c r="B50" s="88" t="s">
        <v>151</v>
      </c>
      <c r="C50" s="141" t="s">
        <v>152</v>
      </c>
      <c r="D50" s="150">
        <f>43*6+3</f>
        <v>261</v>
      </c>
      <c r="E50" s="150">
        <f>43*6+3</f>
        <v>261</v>
      </c>
      <c r="F50" s="30">
        <f>43*6</f>
        <v>258</v>
      </c>
    </row>
    <row r="51" spans="1:7" ht="15" customHeight="1" x14ac:dyDescent="0.2">
      <c r="A51" s="75">
        <v>2007</v>
      </c>
      <c r="B51" s="77" t="s">
        <v>216</v>
      </c>
      <c r="C51" s="142" t="s">
        <v>150</v>
      </c>
      <c r="D51" s="150">
        <v>30</v>
      </c>
      <c r="E51" s="150">
        <v>30</v>
      </c>
      <c r="F51" s="21">
        <v>30</v>
      </c>
    </row>
    <row r="52" spans="1:7" s="60" customFormat="1" ht="15" customHeight="1" x14ac:dyDescent="0.2">
      <c r="A52" s="87">
        <v>2007</v>
      </c>
      <c r="B52" s="88" t="s">
        <v>165</v>
      </c>
      <c r="C52" s="141" t="s">
        <v>166</v>
      </c>
      <c r="D52" s="150">
        <f>49*6</f>
        <v>294</v>
      </c>
      <c r="E52" s="150">
        <f>49*6</f>
        <v>294</v>
      </c>
      <c r="F52" s="30">
        <f>45*6</f>
        <v>270</v>
      </c>
      <c r="G52" s="127"/>
    </row>
    <row r="53" spans="1:7" ht="15" customHeight="1" x14ac:dyDescent="0.2">
      <c r="A53" s="75">
        <v>2007</v>
      </c>
      <c r="B53" s="77" t="s">
        <v>167</v>
      </c>
      <c r="C53" s="142" t="s">
        <v>168</v>
      </c>
      <c r="D53" s="150">
        <f>29+11+1+32</f>
        <v>73</v>
      </c>
      <c r="E53" s="150">
        <f>29+11+1+32</f>
        <v>73</v>
      </c>
      <c r="F53" s="21">
        <f>29+1</f>
        <v>30</v>
      </c>
    </row>
    <row r="54" spans="1:7" ht="15" customHeight="1" x14ac:dyDescent="0.2">
      <c r="A54" s="75">
        <v>2007</v>
      </c>
      <c r="B54" s="77" t="s">
        <v>218</v>
      </c>
      <c r="C54" s="142" t="s">
        <v>204</v>
      </c>
      <c r="D54" s="150">
        <f>17*6-3</f>
        <v>99</v>
      </c>
      <c r="E54" s="150">
        <f>17*6-3</f>
        <v>99</v>
      </c>
      <c r="F54" s="92"/>
    </row>
    <row r="55" spans="1:7" ht="15" customHeight="1" x14ac:dyDescent="0.2">
      <c r="A55" s="75">
        <v>2007</v>
      </c>
      <c r="B55" s="77" t="s">
        <v>297</v>
      </c>
      <c r="C55" s="142" t="s">
        <v>296</v>
      </c>
      <c r="D55" s="150">
        <f>1+2+5</f>
        <v>8</v>
      </c>
      <c r="E55" s="150">
        <f>1+2+5</f>
        <v>8</v>
      </c>
      <c r="F55" s="136">
        <v>3</v>
      </c>
    </row>
    <row r="56" spans="1:7" ht="5.0999999999999996" customHeight="1" x14ac:dyDescent="0.2">
      <c r="A56" s="78"/>
      <c r="B56" s="79"/>
      <c r="C56" s="146"/>
      <c r="D56" s="79"/>
      <c r="E56" s="152"/>
      <c r="F56" s="91"/>
    </row>
    <row r="57" spans="1:7" ht="15" customHeight="1" x14ac:dyDescent="0.2">
      <c r="A57" s="75">
        <v>2008</v>
      </c>
      <c r="B57" s="77" t="s">
        <v>153</v>
      </c>
      <c r="C57" s="142" t="s">
        <v>154</v>
      </c>
      <c r="D57" s="150">
        <v>5</v>
      </c>
      <c r="E57" s="150">
        <v>5</v>
      </c>
      <c r="F57" s="21">
        <v>4</v>
      </c>
    </row>
    <row r="58" spans="1:7" ht="15" customHeight="1" x14ac:dyDescent="0.2">
      <c r="A58" s="75">
        <v>2008</v>
      </c>
      <c r="B58" s="77" t="s">
        <v>169</v>
      </c>
      <c r="C58" s="142" t="s">
        <v>170</v>
      </c>
      <c r="D58" s="76"/>
      <c r="E58" s="150">
        <f>24*6+5+4+24*6+600+31*6</f>
        <v>1083</v>
      </c>
      <c r="F58" s="92">
        <f>11*6+4+24*6+7+7+1+35*6+4+600+8*6+85*6+5</f>
        <v>1606</v>
      </c>
    </row>
    <row r="59" spans="1:7" ht="15" customHeight="1" x14ac:dyDescent="0.2">
      <c r="A59" s="75">
        <v>2008</v>
      </c>
      <c r="B59" s="77" t="s">
        <v>219</v>
      </c>
      <c r="C59" s="142" t="s">
        <v>220</v>
      </c>
      <c r="D59" s="76">
        <v>3</v>
      </c>
      <c r="E59" s="150">
        <v>15</v>
      </c>
      <c r="F59" s="92">
        <v>10</v>
      </c>
    </row>
    <row r="60" spans="1:7" ht="15" customHeight="1" x14ac:dyDescent="0.2">
      <c r="A60" s="75">
        <v>2008</v>
      </c>
      <c r="B60" s="77" t="s">
        <v>218</v>
      </c>
      <c r="C60" s="142" t="s">
        <v>221</v>
      </c>
      <c r="D60" s="76">
        <v>109</v>
      </c>
      <c r="E60" s="150">
        <f>4*264+32*6+2</f>
        <v>1250</v>
      </c>
      <c r="F60" s="92">
        <v>229</v>
      </c>
    </row>
    <row r="61" spans="1:7" ht="15" customHeight="1" x14ac:dyDescent="0.2">
      <c r="A61" s="75">
        <v>2008</v>
      </c>
      <c r="B61" s="77" t="s">
        <v>230</v>
      </c>
      <c r="C61" s="142" t="s">
        <v>410</v>
      </c>
      <c r="D61" s="76">
        <v>112</v>
      </c>
      <c r="E61" s="150"/>
      <c r="F61" s="92"/>
    </row>
    <row r="62" spans="1:7" ht="15" customHeight="1" x14ac:dyDescent="0.2">
      <c r="A62" s="75">
        <v>2008</v>
      </c>
      <c r="B62" s="77" t="s">
        <v>378</v>
      </c>
      <c r="C62" s="142" t="s">
        <v>379</v>
      </c>
      <c r="D62" s="76">
        <f>60+1+5</f>
        <v>66</v>
      </c>
      <c r="E62" s="150"/>
      <c r="F62" s="92">
        <f>5+28</f>
        <v>33</v>
      </c>
    </row>
    <row r="63" spans="1:7" ht="15" customHeight="1" x14ac:dyDescent="0.2">
      <c r="A63" s="75">
        <v>2008</v>
      </c>
      <c r="B63" s="77" t="s">
        <v>314</v>
      </c>
      <c r="C63" s="142" t="s">
        <v>314</v>
      </c>
      <c r="D63" s="76">
        <v>6</v>
      </c>
      <c r="E63" s="150">
        <v>7</v>
      </c>
      <c r="F63" s="92">
        <v>6</v>
      </c>
    </row>
    <row r="64" spans="1:7" ht="15" customHeight="1" x14ac:dyDescent="0.2">
      <c r="A64" s="75">
        <v>2008</v>
      </c>
      <c r="B64" s="77" t="s">
        <v>224</v>
      </c>
      <c r="C64" s="142" t="s">
        <v>224</v>
      </c>
      <c r="D64" s="76">
        <f>22*6+2</f>
        <v>134</v>
      </c>
      <c r="E64" s="60">
        <f>47*6</f>
        <v>282</v>
      </c>
      <c r="F64" s="92">
        <f>47*6+2</f>
        <v>284</v>
      </c>
      <c r="G64" s="126"/>
    </row>
    <row r="65" spans="1:6" ht="15" customHeight="1" x14ac:dyDescent="0.2">
      <c r="A65" s="75">
        <v>2008</v>
      </c>
      <c r="B65" s="77" t="s">
        <v>155</v>
      </c>
      <c r="C65" s="142" t="s">
        <v>156</v>
      </c>
      <c r="D65" s="76"/>
      <c r="E65" s="150">
        <f>15+1+60+18</f>
        <v>94</v>
      </c>
      <c r="F65" s="92">
        <f>15+1+12</f>
        <v>28</v>
      </c>
    </row>
    <row r="66" spans="1:6" ht="15" customHeight="1" x14ac:dyDescent="0.2">
      <c r="A66" s="75">
        <v>2008</v>
      </c>
      <c r="B66" s="77" t="s">
        <v>228</v>
      </c>
      <c r="C66" s="142" t="s">
        <v>229</v>
      </c>
      <c r="D66" s="76">
        <f>1+48+1200</f>
        <v>1249</v>
      </c>
      <c r="E66" s="150">
        <f>50*6+53*6+3+24*6+8+1+1200+70*6</f>
        <v>2394</v>
      </c>
      <c r="F66" s="136">
        <f>50*6+27*6+2+24*6+10+2+70*6+29*6</f>
        <v>1214</v>
      </c>
    </row>
    <row r="67" spans="1:6" ht="15" customHeight="1" x14ac:dyDescent="0.2">
      <c r="A67" s="75">
        <v>2008</v>
      </c>
      <c r="B67" s="77" t="s">
        <v>227</v>
      </c>
      <c r="C67" s="142" t="s">
        <v>227</v>
      </c>
      <c r="D67" s="76">
        <v>3</v>
      </c>
      <c r="E67" s="153">
        <f>59*6+4</f>
        <v>358</v>
      </c>
      <c r="F67" s="92">
        <f>28*6+1</f>
        <v>169</v>
      </c>
    </row>
    <row r="68" spans="1:6" ht="15" customHeight="1" x14ac:dyDescent="0.2">
      <c r="A68" s="75">
        <v>2008</v>
      </c>
      <c r="B68" s="77" t="s">
        <v>380</v>
      </c>
      <c r="C68" s="142" t="s">
        <v>381</v>
      </c>
      <c r="D68" s="76">
        <v>68</v>
      </c>
      <c r="E68" s="81"/>
      <c r="F68" s="137">
        <v>66</v>
      </c>
    </row>
    <row r="69" spans="1:6" ht="5.0999999999999996" customHeight="1" x14ac:dyDescent="0.2">
      <c r="A69" s="78"/>
      <c r="B69" s="79"/>
      <c r="C69" s="146"/>
      <c r="D69" s="79"/>
      <c r="E69" s="154"/>
      <c r="F69" s="122"/>
    </row>
    <row r="70" spans="1:6" ht="15" customHeight="1" x14ac:dyDescent="0.2">
      <c r="A70" s="75">
        <v>2009</v>
      </c>
      <c r="B70" s="77" t="s">
        <v>157</v>
      </c>
      <c r="C70" s="142" t="s">
        <v>158</v>
      </c>
      <c r="D70" s="76">
        <v>3</v>
      </c>
      <c r="E70" s="150">
        <v>3</v>
      </c>
      <c r="F70" s="21">
        <v>3</v>
      </c>
    </row>
    <row r="71" spans="1:6" ht="15" customHeight="1" x14ac:dyDescent="0.2">
      <c r="A71" s="75">
        <v>2009</v>
      </c>
      <c r="B71" s="77" t="s">
        <v>396</v>
      </c>
      <c r="C71" s="142" t="s">
        <v>397</v>
      </c>
      <c r="D71" s="76">
        <v>22</v>
      </c>
      <c r="E71" s="150"/>
      <c r="F71" s="21"/>
    </row>
    <row r="72" spans="1:6" ht="15" customHeight="1" x14ac:dyDescent="0.2">
      <c r="A72" s="75">
        <v>2009</v>
      </c>
      <c r="B72" s="77" t="s">
        <v>234</v>
      </c>
      <c r="C72" s="142" t="s">
        <v>235</v>
      </c>
      <c r="D72" s="76">
        <v>30</v>
      </c>
      <c r="E72" s="150">
        <v>30</v>
      </c>
      <c r="F72" s="92">
        <v>30</v>
      </c>
    </row>
    <row r="73" spans="1:6" ht="15" customHeight="1" x14ac:dyDescent="0.2">
      <c r="A73" s="75">
        <v>2009</v>
      </c>
      <c r="B73" s="77" t="s">
        <v>232</v>
      </c>
      <c r="C73" s="142" t="s">
        <v>233</v>
      </c>
      <c r="D73" s="76">
        <f>97+264*4</f>
        <v>1153</v>
      </c>
      <c r="E73" s="150">
        <f>4*264+214</f>
        <v>1270</v>
      </c>
      <c r="F73" s="92">
        <f>4*264+212</f>
        <v>1268</v>
      </c>
    </row>
    <row r="74" spans="1:6" ht="15" customHeight="1" x14ac:dyDescent="0.2">
      <c r="A74" s="75">
        <v>2009</v>
      </c>
      <c r="B74" s="77" t="s">
        <v>236</v>
      </c>
      <c r="C74" s="142" t="s">
        <v>223</v>
      </c>
      <c r="D74" s="76">
        <f>41*600+499</f>
        <v>25099</v>
      </c>
      <c r="E74" s="150">
        <f>48*600+118</f>
        <v>28918</v>
      </c>
      <c r="F74" s="92">
        <f>48*600+96</f>
        <v>28896</v>
      </c>
    </row>
    <row r="75" spans="1:6" ht="15" customHeight="1" x14ac:dyDescent="0.2">
      <c r="A75" s="75">
        <v>2009</v>
      </c>
      <c r="B75" s="77" t="s">
        <v>237</v>
      </c>
      <c r="C75" s="142" t="s">
        <v>238</v>
      </c>
      <c r="D75" s="76">
        <f>1+4+1+3+4+241+51*6+5+24+240+24</f>
        <v>853</v>
      </c>
      <c r="E75" s="150">
        <f>600+61*6+3+600</f>
        <v>1569</v>
      </c>
      <c r="F75" s="92">
        <f>77*6+5+40*6+3*600</f>
        <v>2507</v>
      </c>
    </row>
    <row r="76" spans="1:6" ht="15" customHeight="1" x14ac:dyDescent="0.2">
      <c r="A76" s="75">
        <v>2009</v>
      </c>
      <c r="B76" s="77" t="s">
        <v>298</v>
      </c>
      <c r="C76" s="142" t="s">
        <v>299</v>
      </c>
      <c r="D76" s="76">
        <f>12*6+4</f>
        <v>76</v>
      </c>
      <c r="E76" s="150">
        <v>123</v>
      </c>
      <c r="F76" s="92">
        <f>19*6</f>
        <v>114</v>
      </c>
    </row>
    <row r="77" spans="1:6" ht="15" customHeight="1" x14ac:dyDescent="0.2">
      <c r="A77" s="75">
        <v>2009</v>
      </c>
      <c r="B77" s="77" t="s">
        <v>300</v>
      </c>
      <c r="C77" s="142" t="s">
        <v>301</v>
      </c>
      <c r="D77" s="76">
        <f>6+1+3+1+3+301+16*6+4+3</f>
        <v>418</v>
      </c>
      <c r="E77" s="150">
        <f>94*6</f>
        <v>564</v>
      </c>
      <c r="F77" s="92">
        <f>83*6+1</f>
        <v>499</v>
      </c>
    </row>
    <row r="78" spans="1:6" ht="15" customHeight="1" x14ac:dyDescent="0.2">
      <c r="A78" s="75">
        <v>2009</v>
      </c>
      <c r="B78" s="77" t="s">
        <v>398</v>
      </c>
      <c r="C78" s="142" t="s">
        <v>399</v>
      </c>
      <c r="D78" s="76">
        <f>14*6+5</f>
        <v>89</v>
      </c>
      <c r="E78" s="150"/>
      <c r="F78" s="92"/>
    </row>
    <row r="79" spans="1:6" ht="15" customHeight="1" x14ac:dyDescent="0.2">
      <c r="A79" s="75">
        <v>2009</v>
      </c>
      <c r="B79" s="77" t="s">
        <v>303</v>
      </c>
      <c r="C79" s="142" t="s">
        <v>302</v>
      </c>
      <c r="D79" s="76">
        <f>1+1+11</f>
        <v>13</v>
      </c>
      <c r="E79" s="150">
        <v>24</v>
      </c>
      <c r="F79" s="92">
        <v>12</v>
      </c>
    </row>
    <row r="80" spans="1:6" ht="15" customHeight="1" x14ac:dyDescent="0.2">
      <c r="A80" s="75">
        <v>2009</v>
      </c>
      <c r="B80" s="77" t="s">
        <v>239</v>
      </c>
      <c r="C80" s="142" t="s">
        <v>226</v>
      </c>
      <c r="D80" s="76">
        <f>264*3+16*4</f>
        <v>856</v>
      </c>
      <c r="E80" s="150">
        <f>4*264+168</f>
        <v>1224</v>
      </c>
      <c r="F80" s="92">
        <f>118+4*264</f>
        <v>1174</v>
      </c>
    </row>
    <row r="81" spans="1:7" ht="15" customHeight="1" x14ac:dyDescent="0.2">
      <c r="A81" s="75">
        <v>2009</v>
      </c>
      <c r="B81" s="77" t="s">
        <v>240</v>
      </c>
      <c r="C81" s="142" t="s">
        <v>241</v>
      </c>
      <c r="D81" s="76">
        <f>20*600+556</f>
        <v>12556</v>
      </c>
      <c r="E81" s="150">
        <f>56*600+538</f>
        <v>34138</v>
      </c>
      <c r="F81" s="92">
        <f>45*600</f>
        <v>27000</v>
      </c>
    </row>
    <row r="82" spans="1:7" ht="5.0999999999999996" customHeight="1" x14ac:dyDescent="0.2">
      <c r="A82" s="93"/>
      <c r="B82" s="93"/>
      <c r="C82" s="94"/>
      <c r="D82" s="158"/>
      <c r="E82" s="155"/>
      <c r="F82" s="121"/>
    </row>
    <row r="83" spans="1:7" ht="15" customHeight="1" x14ac:dyDescent="0.2">
      <c r="A83" s="75">
        <v>2010</v>
      </c>
      <c r="B83" s="76" t="s">
        <v>217</v>
      </c>
      <c r="C83" s="142" t="s">
        <v>247</v>
      </c>
      <c r="D83" s="76">
        <v>6</v>
      </c>
      <c r="E83" s="153">
        <v>6</v>
      </c>
      <c r="F83" s="30">
        <v>5</v>
      </c>
    </row>
    <row r="84" spans="1:7" ht="15" customHeight="1" x14ac:dyDescent="0.2">
      <c r="A84" s="75">
        <v>2010</v>
      </c>
      <c r="B84" s="76" t="s">
        <v>219</v>
      </c>
      <c r="C84" s="142" t="s">
        <v>231</v>
      </c>
      <c r="D84" s="76">
        <v>30</v>
      </c>
      <c r="E84" s="153">
        <v>30</v>
      </c>
      <c r="F84" s="92">
        <v>30</v>
      </c>
    </row>
    <row r="85" spans="1:7" ht="15" customHeight="1" x14ac:dyDescent="0.2">
      <c r="A85" s="75">
        <v>2010</v>
      </c>
      <c r="B85" s="76" t="s">
        <v>404</v>
      </c>
      <c r="C85" s="142" t="s">
        <v>405</v>
      </c>
      <c r="D85" s="76">
        <v>9</v>
      </c>
      <c r="E85" s="153"/>
      <c r="F85" s="92"/>
    </row>
    <row r="86" spans="1:7" ht="15" customHeight="1" x14ac:dyDescent="0.2">
      <c r="A86" s="75">
        <v>2010</v>
      </c>
      <c r="B86" s="76" t="s">
        <v>225</v>
      </c>
      <c r="C86" s="142" t="s">
        <v>242</v>
      </c>
      <c r="D86" s="76">
        <v>150</v>
      </c>
      <c r="E86" s="153">
        <v>150</v>
      </c>
      <c r="F86" s="92">
        <v>150</v>
      </c>
    </row>
    <row r="87" spans="1:7" ht="15" customHeight="1" x14ac:dyDescent="0.2">
      <c r="A87" s="75">
        <v>2010</v>
      </c>
      <c r="B87" s="76" t="s">
        <v>243</v>
      </c>
      <c r="C87" s="142" t="s">
        <v>223</v>
      </c>
      <c r="D87" s="76">
        <f>16*600+505</f>
        <v>10105</v>
      </c>
      <c r="E87" s="153">
        <f>44*600+361</f>
        <v>26761</v>
      </c>
      <c r="F87" s="92">
        <f>31*600</f>
        <v>18600</v>
      </c>
    </row>
    <row r="88" spans="1:7" ht="15" customHeight="1" x14ac:dyDescent="0.2">
      <c r="A88" s="75">
        <v>2010</v>
      </c>
      <c r="B88" s="76" t="s">
        <v>244</v>
      </c>
      <c r="C88" s="142" t="s">
        <v>241</v>
      </c>
      <c r="D88" s="76">
        <f>98*600+214-32</f>
        <v>58982</v>
      </c>
      <c r="E88" s="153">
        <f>99*600+221</f>
        <v>59621</v>
      </c>
      <c r="F88" s="92">
        <f>99*600+218</f>
        <v>59618</v>
      </c>
    </row>
    <row r="89" spans="1:7" ht="15" customHeight="1" x14ac:dyDescent="0.2">
      <c r="A89" s="75">
        <v>2010</v>
      </c>
      <c r="B89" s="76" t="s">
        <v>245</v>
      </c>
      <c r="C89" s="142" t="s">
        <v>246</v>
      </c>
      <c r="D89" s="76">
        <f>5+600+93*6+180+2+61*6+3+6600+24</f>
        <v>8338</v>
      </c>
      <c r="E89" s="153">
        <f>15*6+3</f>
        <v>93</v>
      </c>
      <c r="F89" s="92">
        <f>1800+47*6+84*6+17*6+1</f>
        <v>2689</v>
      </c>
    </row>
    <row r="90" spans="1:7" ht="15" customHeight="1" x14ac:dyDescent="0.2">
      <c r="A90" s="75">
        <v>2010</v>
      </c>
      <c r="B90" s="76" t="s">
        <v>248</v>
      </c>
      <c r="C90" s="142" t="s">
        <v>249</v>
      </c>
      <c r="D90" s="76">
        <f>3+86*6+62</f>
        <v>581</v>
      </c>
      <c r="E90" s="153">
        <f>28*6+1</f>
        <v>169</v>
      </c>
      <c r="F90" s="92">
        <f>16*6</f>
        <v>96</v>
      </c>
    </row>
    <row r="91" spans="1:7" ht="15" customHeight="1" x14ac:dyDescent="0.2">
      <c r="A91" s="75">
        <v>2010</v>
      </c>
      <c r="B91" s="76" t="s">
        <v>400</v>
      </c>
      <c r="C91" s="76" t="s">
        <v>401</v>
      </c>
      <c r="D91" s="76">
        <v>5</v>
      </c>
      <c r="E91" s="30"/>
      <c r="F91" s="92"/>
    </row>
    <row r="92" spans="1:7" ht="15" customHeight="1" x14ac:dyDescent="0.2">
      <c r="A92" s="75">
        <v>2010</v>
      </c>
      <c r="B92" s="76" t="s">
        <v>402</v>
      </c>
      <c r="C92" s="76" t="s">
        <v>403</v>
      </c>
      <c r="D92" s="76">
        <v>4</v>
      </c>
      <c r="E92" s="30"/>
      <c r="F92" s="92"/>
    </row>
    <row r="93" spans="1:7" ht="5.0999999999999996" customHeight="1" x14ac:dyDescent="0.2">
      <c r="A93" s="93"/>
      <c r="B93" s="93"/>
      <c r="C93" s="94"/>
      <c r="D93" s="159"/>
      <c r="E93" s="155"/>
      <c r="F93" s="160"/>
    </row>
    <row r="94" spans="1:7" ht="15" customHeight="1" x14ac:dyDescent="0.2">
      <c r="A94" s="75">
        <v>2011</v>
      </c>
      <c r="B94" s="76" t="s">
        <v>219</v>
      </c>
      <c r="C94" s="142" t="s">
        <v>220</v>
      </c>
      <c r="D94" s="76">
        <v>28</v>
      </c>
      <c r="E94" s="153">
        <v>29</v>
      </c>
      <c r="F94" s="92">
        <v>28</v>
      </c>
      <c r="G94" s="126"/>
    </row>
    <row r="95" spans="1:7" ht="15" customHeight="1" x14ac:dyDescent="0.2">
      <c r="A95" s="75">
        <v>2011</v>
      </c>
      <c r="B95" s="76" t="s">
        <v>218</v>
      </c>
      <c r="C95" s="142" t="s">
        <v>221</v>
      </c>
      <c r="D95" s="76">
        <f>2*266+77</f>
        <v>609</v>
      </c>
      <c r="E95" s="153">
        <f>264*2+77</f>
        <v>605</v>
      </c>
      <c r="F95" s="92">
        <f>266*2+77</f>
        <v>609</v>
      </c>
    </row>
    <row r="96" spans="1:7" ht="15" customHeight="1" x14ac:dyDescent="0.2">
      <c r="A96" s="75">
        <v>2011</v>
      </c>
      <c r="B96" s="76" t="s">
        <v>222</v>
      </c>
      <c r="C96" s="142" t="s">
        <v>223</v>
      </c>
      <c r="D96" s="76">
        <f>50*600+284</f>
        <v>30284</v>
      </c>
      <c r="E96" s="153">
        <f>50*600+305</f>
        <v>30305</v>
      </c>
      <c r="F96" s="92">
        <f>50*600+293</f>
        <v>30293</v>
      </c>
    </row>
    <row r="97" spans="1:7" ht="15" customHeight="1" x14ac:dyDescent="0.2">
      <c r="A97" s="75">
        <v>2011</v>
      </c>
      <c r="B97" s="76" t="s">
        <v>225</v>
      </c>
      <c r="C97" s="142" t="s">
        <v>250</v>
      </c>
      <c r="D97" s="76">
        <f>73+265*2</f>
        <v>603</v>
      </c>
      <c r="E97" s="153">
        <f>265*2+74</f>
        <v>604</v>
      </c>
      <c r="F97" s="92">
        <f>265*2+74</f>
        <v>604</v>
      </c>
    </row>
    <row r="98" spans="1:7" ht="15" customHeight="1" x14ac:dyDescent="0.2">
      <c r="A98" s="75">
        <v>2011</v>
      </c>
      <c r="B98" s="76" t="s">
        <v>251</v>
      </c>
      <c r="C98" s="142" t="s">
        <v>241</v>
      </c>
      <c r="D98" s="76">
        <f>187*600+343-22</f>
        <v>112521</v>
      </c>
      <c r="E98" s="153">
        <f>187*600+364</f>
        <v>112564</v>
      </c>
      <c r="F98" s="92">
        <f>187*600+361</f>
        <v>112561</v>
      </c>
    </row>
    <row r="99" spans="1:7" ht="15" customHeight="1" x14ac:dyDescent="0.2">
      <c r="A99" s="75">
        <v>2011</v>
      </c>
      <c r="B99" s="76" t="s">
        <v>252</v>
      </c>
      <c r="C99" s="142" t="s">
        <v>253</v>
      </c>
      <c r="D99" s="76">
        <f>36*600+542</f>
        <v>22142</v>
      </c>
      <c r="E99" s="153">
        <f>120*600</f>
        <v>72000</v>
      </c>
      <c r="F99" s="92">
        <f>82*600</f>
        <v>49200</v>
      </c>
    </row>
    <row r="100" spans="1:7" ht="15" customHeight="1" x14ac:dyDescent="0.2">
      <c r="A100" s="75">
        <v>2011</v>
      </c>
      <c r="B100" s="76" t="s">
        <v>254</v>
      </c>
      <c r="C100" s="142" t="s">
        <v>285</v>
      </c>
      <c r="D100" s="76">
        <f>52*6+1</f>
        <v>313</v>
      </c>
      <c r="E100" s="153">
        <f>53*6</f>
        <v>318</v>
      </c>
      <c r="F100" s="92">
        <f>52*6+5</f>
        <v>317</v>
      </c>
    </row>
    <row r="101" spans="1:7" ht="15" customHeight="1" x14ac:dyDescent="0.2">
      <c r="A101" s="75">
        <v>2011</v>
      </c>
      <c r="B101" s="76" t="s">
        <v>406</v>
      </c>
      <c r="C101" s="142" t="s">
        <v>407</v>
      </c>
      <c r="D101" s="76">
        <v>6</v>
      </c>
      <c r="E101" s="153"/>
      <c r="F101" s="92"/>
    </row>
    <row r="102" spans="1:7" ht="15" customHeight="1" x14ac:dyDescent="0.2">
      <c r="A102" s="75">
        <v>2011</v>
      </c>
      <c r="B102" s="76" t="s">
        <v>255</v>
      </c>
      <c r="C102" s="142" t="s">
        <v>256</v>
      </c>
      <c r="D102" s="76">
        <f>1+4+3+1+86*6-1+600+21*6+1</f>
        <v>1251</v>
      </c>
      <c r="E102" s="153">
        <f>37*6+3+24*6+8+5*600+600+25*6+81*6</f>
        <v>4613</v>
      </c>
      <c r="F102" s="92">
        <f>38*6+3+24*6+5+2+25*12+28*12+63*6+600</f>
        <v>1996</v>
      </c>
    </row>
    <row r="103" spans="1:7" ht="15" customHeight="1" x14ac:dyDescent="0.2">
      <c r="A103" s="75">
        <v>2011</v>
      </c>
      <c r="B103" s="76" t="s">
        <v>382</v>
      </c>
      <c r="C103" s="142" t="s">
        <v>383</v>
      </c>
      <c r="D103" s="76">
        <v>1</v>
      </c>
      <c r="E103" s="153"/>
      <c r="F103" s="92">
        <v>7</v>
      </c>
    </row>
    <row r="104" spans="1:7" ht="15" customHeight="1" x14ac:dyDescent="0.2">
      <c r="A104" s="75">
        <v>2011</v>
      </c>
      <c r="B104" s="76" t="s">
        <v>409</v>
      </c>
      <c r="C104" s="142" t="s">
        <v>408</v>
      </c>
      <c r="D104" s="76">
        <v>6</v>
      </c>
      <c r="E104" s="153"/>
      <c r="F104" s="92"/>
    </row>
    <row r="105" spans="1:7" ht="15" customHeight="1" x14ac:dyDescent="0.2">
      <c r="A105" s="75">
        <v>2011</v>
      </c>
      <c r="B105" s="76" t="s">
        <v>257</v>
      </c>
      <c r="C105" s="142" t="s">
        <v>258</v>
      </c>
      <c r="D105" s="76">
        <f>2+6+97*6+3+600</f>
        <v>1193</v>
      </c>
      <c r="E105" s="153">
        <f>26*6+4+600</f>
        <v>760</v>
      </c>
      <c r="F105" s="92">
        <f>50*6+2</f>
        <v>302</v>
      </c>
    </row>
    <row r="106" spans="1:7" ht="5.0999999999999996" customHeight="1" x14ac:dyDescent="0.2">
      <c r="A106" s="93"/>
      <c r="B106" s="93"/>
      <c r="C106" s="94"/>
      <c r="D106" s="158"/>
      <c r="E106" s="155"/>
      <c r="F106" s="95"/>
    </row>
    <row r="107" spans="1:7" ht="15" customHeight="1" x14ac:dyDescent="0.2">
      <c r="A107" s="75">
        <v>2012</v>
      </c>
      <c r="B107" s="76" t="s">
        <v>219</v>
      </c>
      <c r="C107" s="142" t="s">
        <v>220</v>
      </c>
      <c r="D107" s="76">
        <v>30</v>
      </c>
      <c r="E107" s="153">
        <v>30</v>
      </c>
      <c r="F107" s="92">
        <v>30</v>
      </c>
      <c r="G107" s="126"/>
    </row>
    <row r="108" spans="1:7" ht="15" customHeight="1" x14ac:dyDescent="0.2">
      <c r="A108" s="75">
        <v>2012</v>
      </c>
      <c r="B108" s="76" t="s">
        <v>218</v>
      </c>
      <c r="C108" s="142" t="s">
        <v>221</v>
      </c>
      <c r="D108" s="76">
        <f>271+264</f>
        <v>535</v>
      </c>
      <c r="E108" s="153">
        <f>264*2+101</f>
        <v>629</v>
      </c>
      <c r="F108" s="92">
        <f>99+264*2</f>
        <v>627</v>
      </c>
    </row>
    <row r="109" spans="1:7" ht="15" customHeight="1" x14ac:dyDescent="0.2">
      <c r="A109" s="75">
        <v>2012</v>
      </c>
      <c r="B109" s="76" t="s">
        <v>222</v>
      </c>
      <c r="C109" s="142" t="s">
        <v>223</v>
      </c>
      <c r="D109" s="76">
        <f>27*600+12</f>
        <v>16212</v>
      </c>
      <c r="E109" s="153">
        <f>28*600+134</f>
        <v>16934</v>
      </c>
      <c r="F109" s="92">
        <f>27*600+286</f>
        <v>16486</v>
      </c>
    </row>
    <row r="110" spans="1:7" ht="15" customHeight="1" x14ac:dyDescent="0.2">
      <c r="A110" s="75">
        <v>2012</v>
      </c>
      <c r="B110" s="76" t="s">
        <v>225</v>
      </c>
      <c r="C110" s="142" t="s">
        <v>250</v>
      </c>
      <c r="D110" s="76">
        <f>264*2+107</f>
        <v>635</v>
      </c>
      <c r="E110" s="153">
        <f>2*264+107</f>
        <v>635</v>
      </c>
      <c r="F110" s="92">
        <f>107+264*2</f>
        <v>635</v>
      </c>
    </row>
    <row r="111" spans="1:7" ht="15" customHeight="1" x14ac:dyDescent="0.2">
      <c r="A111" s="75">
        <v>2012</v>
      </c>
      <c r="B111" s="76" t="s">
        <v>251</v>
      </c>
      <c r="C111" s="142" t="s">
        <v>241</v>
      </c>
      <c r="D111" s="76">
        <f>129*600+500</f>
        <v>77900</v>
      </c>
      <c r="E111" s="153">
        <f>174*600+405</f>
        <v>104805</v>
      </c>
      <c r="F111" s="92">
        <f>130*600</f>
        <v>78000</v>
      </c>
    </row>
    <row r="112" spans="1:7" ht="15" customHeight="1" x14ac:dyDescent="0.2">
      <c r="A112" s="75">
        <v>2012</v>
      </c>
      <c r="B112" s="76" t="s">
        <v>252</v>
      </c>
      <c r="C112" s="142" t="s">
        <v>253</v>
      </c>
      <c r="D112" s="76">
        <f>141*600+119</f>
        <v>84719</v>
      </c>
      <c r="E112" s="153">
        <f>192*600</f>
        <v>115200</v>
      </c>
      <c r="F112" s="92">
        <f>182*600+490</f>
        <v>109690</v>
      </c>
    </row>
    <row r="113" spans="1:7" ht="15" customHeight="1" x14ac:dyDescent="0.2">
      <c r="A113" s="75">
        <v>2012</v>
      </c>
      <c r="B113" s="76" t="s">
        <v>304</v>
      </c>
      <c r="C113" s="142" t="s">
        <v>387</v>
      </c>
      <c r="D113" s="76">
        <f>1+3+3+3+600+82*6+63*6+64*6</f>
        <v>1864</v>
      </c>
      <c r="E113" s="153">
        <f>600+13*6</f>
        <v>678</v>
      </c>
      <c r="F113" s="92">
        <f>3*600+76*6+2</f>
        <v>2258</v>
      </c>
    </row>
    <row r="114" spans="1:7" ht="15" customHeight="1" x14ac:dyDescent="0.2">
      <c r="A114" s="75">
        <v>2012</v>
      </c>
      <c r="B114" s="76" t="s">
        <v>411</v>
      </c>
      <c r="C114" s="142" t="s">
        <v>412</v>
      </c>
      <c r="D114" s="76">
        <v>3</v>
      </c>
      <c r="E114" s="153"/>
      <c r="F114" s="92"/>
    </row>
    <row r="115" spans="1:7" ht="15" customHeight="1" x14ac:dyDescent="0.2">
      <c r="A115" s="75">
        <v>2012</v>
      </c>
      <c r="B115" s="76" t="s">
        <v>305</v>
      </c>
      <c r="C115" s="142" t="s">
        <v>386</v>
      </c>
      <c r="D115" s="76">
        <f>3+1+3+8+28+58*6+600</f>
        <v>991</v>
      </c>
      <c r="E115" s="153">
        <f>7*6+4</f>
        <v>46</v>
      </c>
      <c r="F115" s="92">
        <f>24*6+5+168*6</f>
        <v>1157</v>
      </c>
    </row>
    <row r="116" spans="1:7" ht="15" customHeight="1" x14ac:dyDescent="0.2">
      <c r="A116" s="75">
        <v>2012</v>
      </c>
      <c r="B116" s="76" t="s">
        <v>384</v>
      </c>
      <c r="C116" s="142" t="s">
        <v>385</v>
      </c>
      <c r="D116" s="76">
        <f>3+1+3+1+26*6+3</f>
        <v>167</v>
      </c>
      <c r="E116" s="153"/>
      <c r="F116" s="92">
        <f>28*6+3</f>
        <v>171</v>
      </c>
    </row>
    <row r="117" spans="1:7" ht="15" customHeight="1" x14ac:dyDescent="0.2">
      <c r="A117" s="75">
        <v>2012</v>
      </c>
      <c r="B117" s="76" t="s">
        <v>388</v>
      </c>
      <c r="C117" s="157" t="s">
        <v>389</v>
      </c>
      <c r="D117" s="157">
        <f>88*6+1+36</f>
        <v>565</v>
      </c>
      <c r="E117" s="30"/>
      <c r="F117" s="92">
        <v>36</v>
      </c>
    </row>
    <row r="118" spans="1:7" ht="5.0999999999999996" customHeight="1" x14ac:dyDescent="0.2">
      <c r="A118" s="93"/>
      <c r="B118" s="93"/>
      <c r="C118" s="94"/>
      <c r="D118" s="159"/>
      <c r="E118" s="155"/>
      <c r="F118" s="160"/>
    </row>
    <row r="119" spans="1:7" s="60" customFormat="1" ht="15" customHeight="1" x14ac:dyDescent="0.2">
      <c r="A119" s="129">
        <v>2013</v>
      </c>
      <c r="B119" s="128" t="s">
        <v>306</v>
      </c>
      <c r="C119" s="147" t="s">
        <v>310</v>
      </c>
      <c r="D119" s="128">
        <f>36+1+3+2+87*6+1+3</f>
        <v>568</v>
      </c>
      <c r="E119" s="156">
        <f>12*6+2+12*6+3+37*6+2400+52*6+2+50*6+600+1800</f>
        <v>5785</v>
      </c>
      <c r="F119" s="128">
        <f>40*6+2+2+39*6+24*6+3+600-24+63*6+600</f>
        <v>2179</v>
      </c>
      <c r="G119" s="127"/>
    </row>
    <row r="120" spans="1:7" s="60" customFormat="1" ht="15" customHeight="1" x14ac:dyDescent="0.2">
      <c r="A120" s="129">
        <v>2013</v>
      </c>
      <c r="B120" s="128" t="s">
        <v>307</v>
      </c>
      <c r="C120" s="147" t="s">
        <v>311</v>
      </c>
      <c r="D120" s="128"/>
      <c r="E120" s="156">
        <f>4+2+13*6+2</f>
        <v>86</v>
      </c>
      <c r="F120" s="128">
        <v>7</v>
      </c>
      <c r="G120" s="127"/>
    </row>
    <row r="121" spans="1:7" s="60" customFormat="1" ht="15" customHeight="1" x14ac:dyDescent="0.2">
      <c r="A121" s="129">
        <v>2013</v>
      </c>
      <c r="B121" s="128" t="s">
        <v>308</v>
      </c>
      <c r="C121" s="147" t="s">
        <v>312</v>
      </c>
      <c r="D121" s="128">
        <v>28</v>
      </c>
      <c r="E121" s="156">
        <v>56</v>
      </c>
      <c r="F121" s="128">
        <v>28</v>
      </c>
      <c r="G121" s="127"/>
    </row>
    <row r="122" spans="1:7" s="60" customFormat="1" ht="15" customHeight="1" x14ac:dyDescent="0.2">
      <c r="A122" s="129">
        <v>2013</v>
      </c>
      <c r="B122" s="128" t="s">
        <v>309</v>
      </c>
      <c r="C122" s="147" t="s">
        <v>313</v>
      </c>
      <c r="D122" s="128">
        <v>9</v>
      </c>
      <c r="E122" s="156">
        <f>4+1+2</f>
        <v>7</v>
      </c>
      <c r="F122" s="128">
        <v>21</v>
      </c>
      <c r="G122" s="127"/>
    </row>
    <row r="123" spans="1:7" ht="15" customHeight="1" x14ac:dyDescent="0.2">
      <c r="A123" s="75">
        <v>2013</v>
      </c>
      <c r="B123" s="76" t="s">
        <v>219</v>
      </c>
      <c r="C123" s="142" t="s">
        <v>220</v>
      </c>
      <c r="D123" s="76">
        <v>30</v>
      </c>
      <c r="E123" s="153">
        <f>+SUM(E4:E122)</f>
        <v>631072</v>
      </c>
      <c r="F123" s="30">
        <f>+SUM(F4:F122)</f>
        <v>557611</v>
      </c>
    </row>
    <row r="124" spans="1:7" ht="15" customHeight="1" x14ac:dyDescent="0.2">
      <c r="A124" s="75">
        <v>2013</v>
      </c>
      <c r="B124" s="76" t="s">
        <v>218</v>
      </c>
      <c r="C124" s="142" t="s">
        <v>221</v>
      </c>
      <c r="D124" s="76">
        <v>265</v>
      </c>
      <c r="E124" s="153"/>
      <c r="F124" s="21"/>
    </row>
    <row r="125" spans="1:7" ht="15" customHeight="1" x14ac:dyDescent="0.2">
      <c r="A125" s="75">
        <v>2013</v>
      </c>
      <c r="B125" s="76" t="s">
        <v>222</v>
      </c>
      <c r="C125" s="142" t="s">
        <v>223</v>
      </c>
      <c r="D125" s="76">
        <f>32*600+363</f>
        <v>19563</v>
      </c>
      <c r="E125" s="153"/>
      <c r="F125" s="21"/>
    </row>
    <row r="126" spans="1:7" ht="15" customHeight="1" x14ac:dyDescent="0.2">
      <c r="A126" s="75">
        <v>2013</v>
      </c>
      <c r="B126" s="76" t="s">
        <v>225</v>
      </c>
      <c r="C126" s="142"/>
      <c r="D126" s="76">
        <f>271+98</f>
        <v>369</v>
      </c>
      <c r="E126" s="153"/>
      <c r="F126" s="21"/>
    </row>
    <row r="127" spans="1:7" ht="15" customHeight="1" x14ac:dyDescent="0.2">
      <c r="A127" s="75">
        <v>2013</v>
      </c>
      <c r="B127" s="76" t="s">
        <v>251</v>
      </c>
      <c r="C127" s="142"/>
      <c r="D127" s="76">
        <f>603+218*600</f>
        <v>131403</v>
      </c>
      <c r="E127" s="153"/>
      <c r="F127" s="21"/>
    </row>
    <row r="128" spans="1:7" ht="15" customHeight="1" x14ac:dyDescent="0.2">
      <c r="A128" s="75">
        <v>2013</v>
      </c>
      <c r="B128" s="76" t="s">
        <v>390</v>
      </c>
      <c r="C128" s="142"/>
      <c r="D128" s="76">
        <f>6*271+32*4+7</f>
        <v>1761</v>
      </c>
      <c r="E128" s="153"/>
      <c r="F128" s="21"/>
    </row>
    <row r="129" spans="1:7" ht="15" customHeight="1" x14ac:dyDescent="0.2">
      <c r="A129" s="75">
        <v>2013</v>
      </c>
      <c r="B129" s="76" t="s">
        <v>252</v>
      </c>
      <c r="C129" s="142"/>
      <c r="D129" s="76">
        <f>217*600+550</f>
        <v>130750</v>
      </c>
      <c r="E129" s="153"/>
      <c r="F129" s="21"/>
    </row>
    <row r="130" spans="1:7" ht="15" customHeight="1" x14ac:dyDescent="0.2">
      <c r="A130" s="75">
        <v>2013</v>
      </c>
      <c r="B130" s="76" t="s">
        <v>415</v>
      </c>
      <c r="C130" s="142" t="s">
        <v>416</v>
      </c>
      <c r="D130" s="76">
        <v>600</v>
      </c>
      <c r="E130" s="153"/>
      <c r="F130" s="21"/>
    </row>
    <row r="131" spans="1:7" ht="15" customHeight="1" x14ac:dyDescent="0.2">
      <c r="A131" s="75">
        <v>2013</v>
      </c>
      <c r="B131" s="76" t="s">
        <v>421</v>
      </c>
      <c r="C131" s="142" t="s">
        <v>422</v>
      </c>
      <c r="D131" s="76">
        <v>6</v>
      </c>
      <c r="E131" s="153"/>
      <c r="F131" s="21"/>
    </row>
    <row r="132" spans="1:7" ht="15" customHeight="1" x14ac:dyDescent="0.2">
      <c r="A132" s="75">
        <v>2013</v>
      </c>
      <c r="B132" s="76" t="s">
        <v>391</v>
      </c>
      <c r="C132" s="142"/>
      <c r="D132" s="76">
        <f>18*600+18+3</f>
        <v>10821</v>
      </c>
      <c r="E132" s="153"/>
      <c r="F132" s="21"/>
    </row>
    <row r="133" spans="1:7" ht="15" customHeight="1" x14ac:dyDescent="0.2">
      <c r="A133" s="75">
        <v>2013</v>
      </c>
      <c r="B133" s="76" t="s">
        <v>393</v>
      </c>
      <c r="C133" s="142"/>
      <c r="D133" s="76"/>
      <c r="E133" s="153"/>
      <c r="F133" s="21"/>
    </row>
    <row r="134" spans="1:7" ht="15" customHeight="1" x14ac:dyDescent="0.2">
      <c r="A134" s="75">
        <v>2013</v>
      </c>
      <c r="B134" s="76" t="s">
        <v>392</v>
      </c>
      <c r="C134" s="142"/>
      <c r="D134" s="76"/>
      <c r="E134" s="153"/>
      <c r="F134" s="21"/>
    </row>
    <row r="135" spans="1:7" ht="15" customHeight="1" x14ac:dyDescent="0.2">
      <c r="A135" s="75">
        <v>2013</v>
      </c>
      <c r="B135" s="76" t="s">
        <v>394</v>
      </c>
      <c r="C135" s="142"/>
      <c r="D135" s="76"/>
      <c r="E135" s="153"/>
      <c r="F135" s="21"/>
    </row>
    <row r="136" spans="1:7" ht="5.0999999999999996" customHeight="1" x14ac:dyDescent="0.2">
      <c r="A136" s="93"/>
      <c r="B136" s="93"/>
      <c r="C136" s="94"/>
      <c r="D136" s="159"/>
      <c r="E136" s="155"/>
      <c r="F136" s="160"/>
    </row>
    <row r="137" spans="1:7" s="60" customFormat="1" ht="15" customHeight="1" x14ac:dyDescent="0.2">
      <c r="A137" s="129">
        <v>2014</v>
      </c>
      <c r="B137" s="128" t="s">
        <v>306</v>
      </c>
      <c r="C137" s="147" t="s">
        <v>310</v>
      </c>
      <c r="D137" s="128">
        <f>6*2+1+72+64*6+5+600+71*6+5+1200</f>
        <v>2705</v>
      </c>
      <c r="E137" s="156"/>
      <c r="F137" s="128"/>
      <c r="G137" s="127"/>
    </row>
    <row r="138" spans="1:7" s="60" customFormat="1" ht="15" customHeight="1" x14ac:dyDescent="0.2">
      <c r="A138" s="129">
        <v>2014</v>
      </c>
      <c r="B138" s="128" t="s">
        <v>307</v>
      </c>
      <c r="C138" s="147" t="s">
        <v>311</v>
      </c>
      <c r="D138" s="128">
        <f>22+1+3</f>
        <v>26</v>
      </c>
      <c r="E138" s="156"/>
      <c r="F138" s="128"/>
      <c r="G138" s="127"/>
    </row>
    <row r="139" spans="1:7" s="60" customFormat="1" ht="15" customHeight="1" x14ac:dyDescent="0.2">
      <c r="A139" s="129">
        <v>2014</v>
      </c>
      <c r="B139" s="128" t="s">
        <v>419</v>
      </c>
      <c r="C139" s="147" t="s">
        <v>420</v>
      </c>
      <c r="D139" s="128">
        <v>318</v>
      </c>
      <c r="E139" s="156"/>
      <c r="F139" s="128"/>
      <c r="G139" s="127"/>
    </row>
    <row r="140" spans="1:7" s="60" customFormat="1" ht="15" customHeight="1" x14ac:dyDescent="0.2">
      <c r="A140" s="129">
        <v>2014</v>
      </c>
      <c r="B140" s="128" t="s">
        <v>417</v>
      </c>
      <c r="C140" s="147" t="s">
        <v>418</v>
      </c>
      <c r="D140" s="128">
        <f>73*546+5*14*3+15</f>
        <v>40083</v>
      </c>
      <c r="E140" s="156"/>
      <c r="F140" s="128"/>
      <c r="G140" s="127"/>
    </row>
    <row r="141" spans="1:7" s="60" customFormat="1" ht="15" customHeight="1" x14ac:dyDescent="0.2">
      <c r="A141" s="129">
        <v>2014</v>
      </c>
      <c r="B141" s="128" t="s">
        <v>413</v>
      </c>
      <c r="C141" s="147" t="s">
        <v>414</v>
      </c>
      <c r="D141" s="128">
        <f>6*17+3*17+6+26</f>
        <v>185</v>
      </c>
      <c r="E141" s="156"/>
      <c r="F141" s="128"/>
      <c r="G141" s="127"/>
    </row>
    <row r="142" spans="1:7" s="60" customFormat="1" ht="15" customHeight="1" x14ac:dyDescent="0.2">
      <c r="A142" s="129">
        <v>2014</v>
      </c>
      <c r="B142" s="128" t="s">
        <v>309</v>
      </c>
      <c r="C142" s="147" t="s">
        <v>313</v>
      </c>
      <c r="D142" s="128">
        <v>3</v>
      </c>
      <c r="E142" s="156"/>
      <c r="F142" s="128"/>
      <c r="G142" s="127"/>
    </row>
    <row r="143" spans="1:7" x14ac:dyDescent="0.2">
      <c r="B143" s="62"/>
    </row>
    <row r="144" spans="1:7" x14ac:dyDescent="0.2">
      <c r="B144" s="62"/>
    </row>
  </sheetData>
  <mergeCells count="1">
    <mergeCell ref="A1:C1"/>
  </mergeCells>
  <pageMargins left="0.70866141732283472" right="0.70866141732283472" top="0.15748031496062992" bottom="0.15748031496062992" header="0.11811023622047245" footer="0.31496062992125984"/>
  <pageSetup paperSize="9" scale="82" fitToHeight="0" orientation="portrait" r:id="rId1"/>
  <rowBreaks count="1" manualBreakCount="1">
    <brk id="48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B27" sqref="B27"/>
    </sheetView>
  </sheetViews>
  <sheetFormatPr baseColWidth="10" defaultRowHeight="12.75" x14ac:dyDescent="0.2"/>
  <cols>
    <col min="1" max="1" width="13.7109375" bestFit="1" customWidth="1"/>
    <col min="2" max="2" width="32.7109375" bestFit="1" customWidth="1"/>
  </cols>
  <sheetData>
    <row r="1" spans="1:10" ht="20.25" x14ac:dyDescent="0.3">
      <c r="A1" s="178" t="s">
        <v>171</v>
      </c>
      <c r="B1" s="178"/>
      <c r="C1" s="178"/>
    </row>
    <row r="3" spans="1:10" ht="25.5" x14ac:dyDescent="0.2">
      <c r="A3" s="75" t="s">
        <v>159</v>
      </c>
      <c r="B3" s="75" t="s">
        <v>160</v>
      </c>
      <c r="C3" s="115">
        <v>42177</v>
      </c>
      <c r="H3" s="115">
        <v>41439</v>
      </c>
    </row>
    <row r="4" spans="1:10" x14ac:dyDescent="0.2">
      <c r="A4" s="27" t="s">
        <v>173</v>
      </c>
      <c r="B4" s="21" t="s">
        <v>172</v>
      </c>
      <c r="C4" s="21">
        <v>4</v>
      </c>
      <c r="D4">
        <v>15</v>
      </c>
      <c r="E4">
        <f>C4*D4</f>
        <v>60</v>
      </c>
      <c r="H4" s="21">
        <v>4</v>
      </c>
      <c r="I4">
        <v>15</v>
      </c>
      <c r="J4">
        <f>H4*I4</f>
        <v>60</v>
      </c>
    </row>
    <row r="5" spans="1:10" x14ac:dyDescent="0.2">
      <c r="A5" s="27" t="s">
        <v>174</v>
      </c>
      <c r="B5" s="21" t="s">
        <v>174</v>
      </c>
      <c r="C5" s="21">
        <v>10</v>
      </c>
      <c r="D5">
        <v>1</v>
      </c>
      <c r="E5">
        <f t="shared" ref="E5:E7" si="0">C5*D5</f>
        <v>10</v>
      </c>
      <c r="H5" s="21">
        <v>10</v>
      </c>
      <c r="I5">
        <v>1</v>
      </c>
      <c r="J5">
        <f t="shared" ref="J5:J8" si="1">H5*I5</f>
        <v>10</v>
      </c>
    </row>
    <row r="6" spans="1:10" x14ac:dyDescent="0.2">
      <c r="A6" s="80" t="s">
        <v>175</v>
      </c>
      <c r="B6" s="21" t="s">
        <v>176</v>
      </c>
      <c r="C6" s="21">
        <v>8</v>
      </c>
      <c r="D6">
        <v>26.06</v>
      </c>
      <c r="E6">
        <f t="shared" si="0"/>
        <v>208.48</v>
      </c>
      <c r="H6" s="21">
        <v>1</v>
      </c>
      <c r="I6">
        <v>26.06</v>
      </c>
      <c r="J6">
        <f t="shared" si="1"/>
        <v>26.06</v>
      </c>
    </row>
    <row r="7" spans="1:10" x14ac:dyDescent="0.2">
      <c r="A7" s="80" t="s">
        <v>177</v>
      </c>
      <c r="B7" s="21" t="s">
        <v>376</v>
      </c>
      <c r="C7" s="21">
        <f>2*24+5*6+24*15</f>
        <v>438</v>
      </c>
      <c r="D7">
        <v>2.78</v>
      </c>
      <c r="E7">
        <f t="shared" si="0"/>
        <v>1217.6399999999999</v>
      </c>
      <c r="H7" s="21">
        <f>18*24+24+3</f>
        <v>459</v>
      </c>
      <c r="I7">
        <v>2.78</v>
      </c>
      <c r="J7">
        <f t="shared" si="1"/>
        <v>1276.02</v>
      </c>
    </row>
    <row r="8" spans="1:10" x14ac:dyDescent="0.2">
      <c r="A8" s="80"/>
      <c r="B8" s="21" t="s">
        <v>377</v>
      </c>
      <c r="C8" s="21">
        <v>900</v>
      </c>
      <c r="D8">
        <v>2.5</v>
      </c>
      <c r="E8">
        <f>C8*D8</f>
        <v>2250</v>
      </c>
      <c r="H8" s="21">
        <v>950</v>
      </c>
      <c r="I8">
        <v>2.5</v>
      </c>
      <c r="J8">
        <f t="shared" si="1"/>
        <v>2375</v>
      </c>
    </row>
    <row r="9" spans="1:10" x14ac:dyDescent="0.2">
      <c r="A9" s="21"/>
      <c r="B9" s="21"/>
      <c r="C9" s="21"/>
      <c r="E9" s="117">
        <f>SUM(E3:E8)</f>
        <v>3746.12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8"/>
  <sheetViews>
    <sheetView workbookViewId="0">
      <selection activeCell="F6" sqref="F6"/>
    </sheetView>
  </sheetViews>
  <sheetFormatPr baseColWidth="10" defaultRowHeight="12.75" x14ac:dyDescent="0.2"/>
  <cols>
    <col min="2" max="2" width="15.7109375" bestFit="1" customWidth="1"/>
  </cols>
  <sheetData>
    <row r="1" spans="1:13" x14ac:dyDescent="0.2">
      <c r="A1" s="21" t="s">
        <v>370</v>
      </c>
      <c r="B1" s="21" t="s">
        <v>374</v>
      </c>
    </row>
    <row r="2" spans="1:13" x14ac:dyDescent="0.2">
      <c r="A2" s="21" t="s">
        <v>350</v>
      </c>
      <c r="B2" s="21" t="s">
        <v>371</v>
      </c>
    </row>
    <row r="3" spans="1:13" x14ac:dyDescent="0.2">
      <c r="A3" s="21" t="s">
        <v>354</v>
      </c>
      <c r="B3" s="21" t="s">
        <v>355</v>
      </c>
    </row>
    <row r="4" spans="1:13" x14ac:dyDescent="0.2">
      <c r="A4" s="21" t="s">
        <v>360</v>
      </c>
      <c r="B4" s="21" t="s">
        <v>361</v>
      </c>
    </row>
    <row r="5" spans="1:13" x14ac:dyDescent="0.2">
      <c r="A5" s="21" t="s">
        <v>356</v>
      </c>
      <c r="B5" s="21" t="s">
        <v>357</v>
      </c>
    </row>
    <row r="6" spans="1:13" x14ac:dyDescent="0.2">
      <c r="A6" s="21" t="s">
        <v>373</v>
      </c>
      <c r="B6" s="21" t="s">
        <v>372</v>
      </c>
    </row>
    <row r="7" spans="1:13" x14ac:dyDescent="0.2">
      <c r="A7" s="21" t="s">
        <v>358</v>
      </c>
      <c r="B7" s="21" t="s">
        <v>359</v>
      </c>
    </row>
    <row r="8" spans="1:13" x14ac:dyDescent="0.2">
      <c r="A8" s="21" t="s">
        <v>366</v>
      </c>
      <c r="B8" s="21" t="s">
        <v>367</v>
      </c>
    </row>
    <row r="9" spans="1:13" x14ac:dyDescent="0.2">
      <c r="A9" s="21" t="s">
        <v>362</v>
      </c>
      <c r="B9" s="21" t="s">
        <v>363</v>
      </c>
    </row>
    <row r="10" spans="1:13" x14ac:dyDescent="0.2">
      <c r="A10" s="21" t="s">
        <v>365</v>
      </c>
      <c r="B10" s="21" t="s">
        <v>364</v>
      </c>
    </row>
    <row r="11" spans="1:13" x14ac:dyDescent="0.2">
      <c r="A11" s="21" t="s">
        <v>368</v>
      </c>
      <c r="B11" s="21" t="s">
        <v>369</v>
      </c>
    </row>
    <row r="15" spans="1:13" x14ac:dyDescent="0.2">
      <c r="B15" s="179">
        <v>2011</v>
      </c>
      <c r="C15" s="179"/>
      <c r="D15" s="179"/>
      <c r="E15" s="179">
        <v>2012</v>
      </c>
      <c r="F15" s="179"/>
      <c r="G15" s="179"/>
      <c r="H15" s="179">
        <v>2013</v>
      </c>
      <c r="I15" s="179"/>
      <c r="J15" s="179"/>
      <c r="K15" s="179">
        <v>2014</v>
      </c>
      <c r="L15" s="179"/>
      <c r="M15" s="179"/>
    </row>
    <row r="16" spans="1:13" x14ac:dyDescent="0.2">
      <c r="B16" s="21">
        <v>225</v>
      </c>
      <c r="C16" s="21">
        <v>500</v>
      </c>
      <c r="D16" s="21">
        <v>600</v>
      </c>
      <c r="E16" s="21">
        <v>225</v>
      </c>
      <c r="F16" s="21">
        <v>500</v>
      </c>
      <c r="G16" s="21">
        <v>600</v>
      </c>
      <c r="H16" s="21">
        <v>225</v>
      </c>
      <c r="I16" s="21">
        <v>500</v>
      </c>
      <c r="J16" s="21">
        <v>600</v>
      </c>
      <c r="K16" s="21">
        <v>225</v>
      </c>
      <c r="L16" s="21">
        <v>500</v>
      </c>
      <c r="M16" s="21">
        <v>600</v>
      </c>
    </row>
    <row r="17" spans="1:14" ht="15" customHeight="1" x14ac:dyDescent="0.2">
      <c r="A17" s="131" t="s">
        <v>370</v>
      </c>
      <c r="B17" s="21"/>
      <c r="C17" s="21"/>
      <c r="D17" s="21"/>
      <c r="E17" s="21">
        <f>1+2</f>
        <v>3</v>
      </c>
      <c r="F17" s="21"/>
      <c r="G17" s="21"/>
      <c r="H17" s="21">
        <v>2</v>
      </c>
      <c r="I17" s="21"/>
      <c r="J17" s="21"/>
      <c r="K17" s="21"/>
      <c r="L17" s="21"/>
      <c r="M17" s="21"/>
    </row>
    <row r="18" spans="1:14" ht="15" customHeight="1" x14ac:dyDescent="0.2">
      <c r="A18" s="131" t="s">
        <v>350</v>
      </c>
      <c r="B18" s="21"/>
      <c r="C18" s="21"/>
      <c r="D18" s="21"/>
      <c r="E18" s="21"/>
      <c r="F18" s="21">
        <f>2+1</f>
        <v>3</v>
      </c>
      <c r="G18" s="21"/>
      <c r="H18" s="21"/>
      <c r="I18" s="21"/>
      <c r="J18" s="21"/>
      <c r="K18" s="21"/>
      <c r="L18" s="21"/>
      <c r="M18" s="21"/>
    </row>
    <row r="19" spans="1:14" ht="15" customHeight="1" x14ac:dyDescent="0.2">
      <c r="A19" s="131" t="s">
        <v>354</v>
      </c>
      <c r="B19" s="21"/>
      <c r="C19" s="21"/>
      <c r="D19" s="21"/>
      <c r="E19" s="21"/>
      <c r="F19" s="21"/>
      <c r="G19" s="21"/>
      <c r="H19" s="21"/>
      <c r="I19" s="21"/>
      <c r="J19" s="21"/>
      <c r="K19" s="21">
        <f>1+1</f>
        <v>2</v>
      </c>
      <c r="L19" s="21"/>
      <c r="M19" s="21"/>
    </row>
    <row r="20" spans="1:14" ht="15" customHeight="1" x14ac:dyDescent="0.2">
      <c r="A20" s="131" t="s">
        <v>360</v>
      </c>
      <c r="B20" s="21"/>
      <c r="C20" s="21"/>
      <c r="D20" s="21"/>
      <c r="E20" s="21">
        <v>4</v>
      </c>
      <c r="F20" s="21"/>
      <c r="G20" s="21"/>
      <c r="H20" s="21">
        <v>2</v>
      </c>
      <c r="I20" s="21"/>
      <c r="J20" s="21"/>
      <c r="K20" s="21">
        <f>2+1</f>
        <v>3</v>
      </c>
      <c r="L20" s="21"/>
      <c r="M20" s="21"/>
    </row>
    <row r="21" spans="1:14" ht="15" customHeight="1" x14ac:dyDescent="0.2">
      <c r="A21" s="131" t="s">
        <v>356</v>
      </c>
      <c r="B21" s="21"/>
      <c r="C21" s="21"/>
      <c r="D21" s="21"/>
      <c r="E21" s="21">
        <f>3+4</f>
        <v>7</v>
      </c>
      <c r="F21" s="21">
        <f>1+1</f>
        <v>2</v>
      </c>
      <c r="G21" s="21"/>
      <c r="H21" s="21">
        <v>4</v>
      </c>
      <c r="I21" s="21"/>
      <c r="J21" s="21"/>
      <c r="K21" s="21">
        <f>4+2</f>
        <v>6</v>
      </c>
      <c r="L21" s="21">
        <f>1+1</f>
        <v>2</v>
      </c>
      <c r="M21" s="21"/>
    </row>
    <row r="22" spans="1:14" ht="15" customHeight="1" x14ac:dyDescent="0.2">
      <c r="A22" s="131" t="s">
        <v>373</v>
      </c>
      <c r="B22" s="21"/>
      <c r="C22" s="21"/>
      <c r="D22" s="21"/>
      <c r="E22" s="21"/>
      <c r="F22" s="21"/>
      <c r="G22" s="21"/>
      <c r="H22" s="21">
        <v>2</v>
      </c>
      <c r="I22" s="21"/>
      <c r="J22" s="21"/>
      <c r="K22" s="21">
        <v>2</v>
      </c>
      <c r="L22" s="21"/>
      <c r="M22" s="21"/>
    </row>
    <row r="23" spans="1:14" ht="15" customHeight="1" x14ac:dyDescent="0.2">
      <c r="A23" s="131" t="s">
        <v>358</v>
      </c>
      <c r="B23" s="21"/>
      <c r="C23" s="21">
        <v>2</v>
      </c>
      <c r="D23" s="21"/>
      <c r="E23" s="21">
        <f>5+1</f>
        <v>6</v>
      </c>
      <c r="F23" s="21">
        <f>1+2</f>
        <v>3</v>
      </c>
      <c r="G23" s="21">
        <v>1</v>
      </c>
      <c r="H23" s="21">
        <f>1+1+2</f>
        <v>4</v>
      </c>
      <c r="I23" s="21">
        <f>1+1+1</f>
        <v>3</v>
      </c>
      <c r="J23" s="21">
        <v>1</v>
      </c>
      <c r="K23" s="21">
        <f>2+2</f>
        <v>4</v>
      </c>
      <c r="L23" s="21">
        <f>1+1+2</f>
        <v>4</v>
      </c>
      <c r="M23" s="21"/>
    </row>
    <row r="24" spans="1:14" ht="15" customHeight="1" x14ac:dyDescent="0.2">
      <c r="A24" s="131" t="s">
        <v>366</v>
      </c>
      <c r="B24" s="21"/>
      <c r="C24" s="21">
        <v>2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</row>
    <row r="25" spans="1:14" ht="15" customHeight="1" x14ac:dyDescent="0.2">
      <c r="A25" s="131" t="s">
        <v>362</v>
      </c>
      <c r="B25" s="21"/>
      <c r="C25" s="21">
        <v>2</v>
      </c>
      <c r="D25" s="21"/>
      <c r="E25" s="21">
        <v>4</v>
      </c>
      <c r="F25" s="21">
        <f>2+1</f>
        <v>3</v>
      </c>
      <c r="G25" s="21">
        <f>1+1</f>
        <v>2</v>
      </c>
      <c r="H25" s="21">
        <f>1+3</f>
        <v>4</v>
      </c>
      <c r="I25" s="21">
        <f>1+1+1+1</f>
        <v>4</v>
      </c>
      <c r="J25" s="21">
        <f>1+1+1</f>
        <v>3</v>
      </c>
      <c r="K25" s="21">
        <f>2+1</f>
        <v>3</v>
      </c>
      <c r="L25" s="21">
        <f>1+1+1+1</f>
        <v>4</v>
      </c>
      <c r="M25" s="21">
        <f>2+3</f>
        <v>5</v>
      </c>
    </row>
    <row r="26" spans="1:14" ht="15" customHeight="1" x14ac:dyDescent="0.2">
      <c r="A26" s="132" t="s">
        <v>365</v>
      </c>
      <c r="B26" s="133"/>
      <c r="C26" s="133">
        <v>2</v>
      </c>
      <c r="D26" s="133"/>
      <c r="E26" s="133">
        <f>5+3</f>
        <v>8</v>
      </c>
      <c r="F26" s="133">
        <v>2</v>
      </c>
      <c r="G26" s="133"/>
      <c r="H26" s="133">
        <v>2</v>
      </c>
      <c r="I26" s="133">
        <f>1+1+1</f>
        <v>3</v>
      </c>
      <c r="J26" s="133"/>
      <c r="K26" s="133">
        <f>2+2+2+2</f>
        <v>8</v>
      </c>
      <c r="L26" s="133">
        <f>1+1</f>
        <v>2</v>
      </c>
      <c r="M26" s="133"/>
    </row>
    <row r="27" spans="1:14" ht="15" customHeight="1" x14ac:dyDescent="0.2">
      <c r="A27" s="21" t="s">
        <v>368</v>
      </c>
      <c r="B27" s="21"/>
      <c r="C27" s="21"/>
      <c r="D27" s="21"/>
      <c r="E27" s="21">
        <v>4</v>
      </c>
      <c r="F27" s="21">
        <v>2</v>
      </c>
      <c r="G27" s="21">
        <v>1</v>
      </c>
      <c r="H27" s="21">
        <f>1+1+2</f>
        <v>4</v>
      </c>
      <c r="I27" s="21">
        <f>1+1+1</f>
        <v>3</v>
      </c>
      <c r="J27" s="21">
        <f>1+1+1+1</f>
        <v>4</v>
      </c>
      <c r="K27" s="21">
        <f>2+1+2</f>
        <v>5</v>
      </c>
      <c r="L27" s="21">
        <f>1+1+1+1</f>
        <v>4</v>
      </c>
      <c r="M27" s="21">
        <f>2+1+1</f>
        <v>4</v>
      </c>
      <c r="N27" s="135" t="s">
        <v>7</v>
      </c>
    </row>
    <row r="28" spans="1:14" x14ac:dyDescent="0.2">
      <c r="A28" s="134" t="s">
        <v>375</v>
      </c>
      <c r="B28" s="134"/>
      <c r="C28" s="134">
        <f>+SUM(C17:C27)*C16/100</f>
        <v>40</v>
      </c>
      <c r="D28" s="134">
        <f t="shared" ref="D28:M28" si="0">+SUM(D17:D27)*D16/100</f>
        <v>0</v>
      </c>
      <c r="E28" s="134">
        <f t="shared" si="0"/>
        <v>81</v>
      </c>
      <c r="F28" s="134">
        <f t="shared" si="0"/>
        <v>75</v>
      </c>
      <c r="G28" s="134">
        <f t="shared" si="0"/>
        <v>24</v>
      </c>
      <c r="H28" s="134">
        <f t="shared" si="0"/>
        <v>54</v>
      </c>
      <c r="I28" s="134">
        <f t="shared" si="0"/>
        <v>65</v>
      </c>
      <c r="J28" s="134">
        <f t="shared" si="0"/>
        <v>48</v>
      </c>
      <c r="K28" s="134">
        <f t="shared" si="0"/>
        <v>74.25</v>
      </c>
      <c r="L28" s="134">
        <f t="shared" si="0"/>
        <v>80</v>
      </c>
      <c r="M28" s="134">
        <f t="shared" si="0"/>
        <v>54</v>
      </c>
      <c r="N28" s="135">
        <f>SUM(C28:M28)</f>
        <v>595.25</v>
      </c>
    </row>
  </sheetData>
  <sortState ref="A1:B11">
    <sortCondition ref="A1:A11"/>
  </sortState>
  <mergeCells count="4">
    <mergeCell ref="B15:D15"/>
    <mergeCell ref="E15:G15"/>
    <mergeCell ref="H15:J15"/>
    <mergeCell ref="K15:M15"/>
  </mergeCells>
  <pageMargins left="0.7" right="0.7" top="0.75" bottom="0.75" header="0.3" footer="0.3"/>
  <pageSetup paperSize="25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4</vt:i4>
      </vt:variant>
    </vt:vector>
  </HeadingPairs>
  <TitlesOfParts>
    <vt:vector size="11" baseType="lpstr">
      <vt:lpstr>MAT SECHES</vt:lpstr>
      <vt:lpstr>PDTS PHYTO</vt:lpstr>
      <vt:lpstr>CARBURANT</vt:lpstr>
      <vt:lpstr>VRAC</vt:lpstr>
      <vt:lpstr>BOUTEILLES</vt:lpstr>
      <vt:lpstr>VERRES</vt:lpstr>
      <vt:lpstr>BARRIQUES</vt:lpstr>
      <vt:lpstr>BOUTEILLES!Zone_d_impression</vt:lpstr>
      <vt:lpstr>'MAT SECHES'!Zone_d_impression</vt:lpstr>
      <vt:lpstr>VERRES!Zone_d_impression</vt:lpstr>
      <vt:lpstr>VRAC!Zone_d_impression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</dc:creator>
  <cp:lastModifiedBy>ACD Groupe</cp:lastModifiedBy>
  <cp:lastPrinted>2014-12-19T09:07:38Z</cp:lastPrinted>
  <dcterms:created xsi:type="dcterms:W3CDTF">2011-12-19T06:26:34Z</dcterms:created>
  <dcterms:modified xsi:type="dcterms:W3CDTF">2015-07-09T06:36:09Z</dcterms:modified>
</cp:coreProperties>
</file>