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ephane\Desktop\lastours bilan 31-12-2015\STOCK\"/>
    </mc:Choice>
  </mc:AlternateContent>
  <bookViews>
    <workbookView xWindow="0" yWindow="0" windowWidth="24000" windowHeight="9135" tabRatio="341" firstSheet="1" activeTab="2"/>
  </bookViews>
  <sheets>
    <sheet name="donnees" sheetId="12" r:id="rId1"/>
    <sheet name="ANALYSE STOCK BOUTEILLES" sheetId="8" r:id="rId2"/>
    <sheet name="ANALYSE STOCK VRAC" sheetId="9" r:id="rId3"/>
    <sheet name="Feuil1" sheetId="13" r:id="rId4"/>
  </sheets>
  <definedNames>
    <definedName name="_xlnm.Print_Area" localSheetId="1">'ANALYSE STOCK BOUTEILLES'!$A$1:$U$204</definedName>
  </definedNames>
  <calcPr calcId="152511"/>
</workbook>
</file>

<file path=xl/calcChain.xml><?xml version="1.0" encoding="utf-8"?>
<calcChain xmlns="http://schemas.openxmlformats.org/spreadsheetml/2006/main">
  <c r="Q178" i="8" l="1"/>
  <c r="O112" i="8"/>
  <c r="O109" i="8"/>
  <c r="O80" i="8"/>
  <c r="P177" i="8"/>
  <c r="P108" i="8"/>
  <c r="P79" i="8"/>
  <c r="P81" i="8"/>
  <c r="P75" i="8"/>
  <c r="K169" i="8" l="1"/>
  <c r="K129" i="8"/>
  <c r="K107" i="8"/>
  <c r="K58" i="8"/>
  <c r="J173" i="8"/>
  <c r="J69" i="8"/>
  <c r="I80" i="8" l="1"/>
  <c r="I81" i="8"/>
  <c r="I68" i="8"/>
  <c r="I69" i="8"/>
  <c r="I136" i="8"/>
  <c r="I117" i="8"/>
  <c r="I99" i="8"/>
  <c r="I101" i="8"/>
  <c r="I150" i="8"/>
  <c r="I151" i="8"/>
  <c r="I111" i="8"/>
  <c r="I94" i="8"/>
  <c r="I97" i="8"/>
  <c r="L87" i="8"/>
  <c r="Q87" i="8" s="1"/>
  <c r="R87" i="8"/>
  <c r="S87" i="8"/>
  <c r="T87" i="8"/>
  <c r="I86" i="8"/>
  <c r="I84" i="8"/>
  <c r="I147" i="8"/>
  <c r="I148" i="8"/>
  <c r="I127" i="8"/>
  <c r="I130" i="8"/>
  <c r="T156" i="8"/>
  <c r="S156" i="8"/>
  <c r="R156" i="8"/>
  <c r="T155" i="8"/>
  <c r="S155" i="8"/>
  <c r="R155" i="8"/>
  <c r="T154" i="8"/>
  <c r="S154" i="8"/>
  <c r="R154" i="8"/>
  <c r="T153" i="8"/>
  <c r="S153" i="8"/>
  <c r="R153" i="8"/>
  <c r="T152" i="8"/>
  <c r="S152" i="8"/>
  <c r="R152" i="8"/>
  <c r="T151" i="8"/>
  <c r="S151" i="8"/>
  <c r="R151" i="8"/>
  <c r="T150" i="8"/>
  <c r="S150" i="8"/>
  <c r="R150" i="8"/>
  <c r="T149" i="8"/>
  <c r="S149" i="8"/>
  <c r="R149" i="8"/>
  <c r="T148" i="8"/>
  <c r="S148" i="8"/>
  <c r="R148" i="8"/>
  <c r="R146" i="8"/>
  <c r="R147" i="8"/>
  <c r="L116" i="8"/>
  <c r="Q116" i="8" s="1"/>
  <c r="R116" i="8"/>
  <c r="S116" i="8"/>
  <c r="T116" i="8"/>
  <c r="I110" i="8"/>
  <c r="I107" i="8"/>
  <c r="I83" i="8"/>
  <c r="I76" i="8"/>
  <c r="I74" i="8"/>
  <c r="I58" i="8"/>
  <c r="I59" i="8"/>
  <c r="I158" i="8"/>
  <c r="L122" i="8"/>
  <c r="N122" i="8" s="1"/>
  <c r="R122" i="8"/>
  <c r="S122" i="8"/>
  <c r="T122" i="8"/>
  <c r="I102" i="8"/>
  <c r="L85" i="8"/>
  <c r="N85" i="8" s="1"/>
  <c r="R85" i="8"/>
  <c r="S85" i="8"/>
  <c r="T85" i="8"/>
  <c r="I153" i="8"/>
  <c r="I166" i="8"/>
  <c r="I118" i="8"/>
  <c r="I131" i="8"/>
  <c r="I132" i="8"/>
  <c r="I112" i="8"/>
  <c r="I95" i="8"/>
  <c r="I129" i="8"/>
  <c r="I149" i="8"/>
  <c r="I162" i="8"/>
  <c r="I140" i="8"/>
  <c r="I142" i="8"/>
  <c r="I165" i="8"/>
  <c r="I78" i="8"/>
  <c r="I79" i="8"/>
  <c r="I75" i="8"/>
  <c r="I137" i="8"/>
  <c r="I100" i="8"/>
  <c r="I168" i="8"/>
  <c r="I177" i="8"/>
  <c r="I176" i="8"/>
  <c r="I109" i="8"/>
  <c r="I169" i="8"/>
  <c r="I175" i="8"/>
  <c r="I157" i="8"/>
  <c r="I128" i="8"/>
  <c r="I108" i="8"/>
  <c r="I139" i="8"/>
  <c r="I159" i="8"/>
  <c r="I113" i="8"/>
  <c r="I60" i="8"/>
  <c r="I96" i="8"/>
  <c r="H178" i="8"/>
  <c r="I171" i="8"/>
  <c r="I174" i="8"/>
  <c r="I82" i="8"/>
  <c r="J178" i="8"/>
  <c r="E25" i="9"/>
  <c r="N87" i="8" l="1"/>
  <c r="Q85" i="8"/>
  <c r="Q122" i="8"/>
  <c r="I178" i="8"/>
  <c r="K10" i="9" l="1"/>
  <c r="N10" i="9"/>
  <c r="K11" i="9"/>
  <c r="O11" i="9" s="1"/>
  <c r="K9" i="9"/>
  <c r="K8" i="9"/>
  <c r="O8" i="9" s="1"/>
  <c r="K7" i="9"/>
  <c r="O7" i="9" s="1"/>
  <c r="K6" i="9"/>
  <c r="M6" i="9" s="1"/>
  <c r="K5" i="9"/>
  <c r="O5" i="9" s="1"/>
  <c r="I1" i="8"/>
  <c r="O10" i="9" l="1"/>
  <c r="O9" i="9"/>
  <c r="M5" i="9"/>
  <c r="M8" i="9"/>
  <c r="O6" i="9"/>
  <c r="M7" i="9"/>
  <c r="M11" i="9"/>
  <c r="O136" i="8" l="1"/>
  <c r="K181" i="8" l="1"/>
  <c r="L142" i="8"/>
  <c r="N142" i="8" s="1"/>
  <c r="L141" i="8"/>
  <c r="N141" i="8" s="1"/>
  <c r="L140" i="8"/>
  <c r="N140" i="8" s="1"/>
  <c r="L138" i="8"/>
  <c r="Q138" i="8" s="1"/>
  <c r="L135" i="8"/>
  <c r="N135" i="8" s="1"/>
  <c r="L134" i="8"/>
  <c r="L133" i="8"/>
  <c r="N133" i="8" s="1"/>
  <c r="L131" i="8"/>
  <c r="N131" i="8" s="1"/>
  <c r="L126" i="8"/>
  <c r="L161" i="8"/>
  <c r="L159" i="8"/>
  <c r="Q159" i="8" s="1"/>
  <c r="L158" i="8"/>
  <c r="Q158" i="8" s="1"/>
  <c r="L156" i="8"/>
  <c r="Q156" i="8" s="1"/>
  <c r="L155" i="8"/>
  <c r="Q155" i="8" s="1"/>
  <c r="L154" i="8"/>
  <c r="Q154" i="8" s="1"/>
  <c r="L152" i="8"/>
  <c r="Q152" i="8" s="1"/>
  <c r="L151" i="8"/>
  <c r="Q151" i="8" s="1"/>
  <c r="L149" i="8"/>
  <c r="Q149" i="8" s="1"/>
  <c r="L148" i="8"/>
  <c r="Q148" i="8" s="1"/>
  <c r="L146" i="8"/>
  <c r="L145" i="8"/>
  <c r="N145" i="8" s="1"/>
  <c r="N156" i="8"/>
  <c r="N152" i="8"/>
  <c r="N138" i="8"/>
  <c r="L67" i="8"/>
  <c r="N67" i="8" s="1"/>
  <c r="R138" i="8"/>
  <c r="S138" i="8"/>
  <c r="T138" i="8"/>
  <c r="R134" i="8"/>
  <c r="S134" i="8"/>
  <c r="T134" i="8"/>
  <c r="L174" i="8"/>
  <c r="N174" i="8" s="1"/>
  <c r="R174" i="8"/>
  <c r="S174" i="8"/>
  <c r="T174" i="8"/>
  <c r="N134" i="8" l="1"/>
  <c r="Q134" i="8"/>
  <c r="N148" i="8"/>
  <c r="N159" i="8"/>
  <c r="N155" i="8"/>
  <c r="Q174" i="8"/>
  <c r="N161" i="8"/>
  <c r="Q161" i="8"/>
  <c r="N149" i="8"/>
  <c r="N146" i="8"/>
  <c r="Q146" i="8"/>
  <c r="N158" i="8"/>
  <c r="N154" i="8"/>
  <c r="N151" i="8"/>
  <c r="H17" i="9"/>
  <c r="L160" i="8" l="1"/>
  <c r="L162" i="8"/>
  <c r="L136" i="8"/>
  <c r="N136" i="8" s="1"/>
  <c r="L137" i="8"/>
  <c r="N137" i="8" s="1"/>
  <c r="L150" i="8"/>
  <c r="Q150" i="8" s="1"/>
  <c r="R162" i="8"/>
  <c r="S162" i="8"/>
  <c r="T162" i="8"/>
  <c r="L127" i="8"/>
  <c r="N127" i="8" s="1"/>
  <c r="L130" i="8"/>
  <c r="N130" i="8" s="1"/>
  <c r="L157" i="8"/>
  <c r="L153" i="8"/>
  <c r="L165" i="8"/>
  <c r="R158" i="8"/>
  <c r="S158" i="8"/>
  <c r="T158" i="8"/>
  <c r="L177" i="8"/>
  <c r="N177" i="8" s="1"/>
  <c r="L176" i="8"/>
  <c r="N176" i="8" s="1"/>
  <c r="R157" i="8"/>
  <c r="S157" i="8"/>
  <c r="T157" i="8"/>
  <c r="I173" i="8"/>
  <c r="L173" i="8" s="1"/>
  <c r="N173" i="8" s="1"/>
  <c r="L169" i="8"/>
  <c r="N169" i="8" s="1"/>
  <c r="L171" i="8"/>
  <c r="N171" i="8" s="1"/>
  <c r="L83" i="8"/>
  <c r="N83" i="8" s="1"/>
  <c r="L128" i="8"/>
  <c r="N128" i="8" s="1"/>
  <c r="L129" i="8"/>
  <c r="N129" i="8" s="1"/>
  <c r="L102" i="8"/>
  <c r="N102" i="8" s="1"/>
  <c r="R159" i="8"/>
  <c r="S159" i="8"/>
  <c r="T159" i="8"/>
  <c r="I64" i="8"/>
  <c r="I65" i="8"/>
  <c r="L132" i="8"/>
  <c r="N132" i="8" s="1"/>
  <c r="L139" i="8"/>
  <c r="N139" i="8" s="1"/>
  <c r="L170" i="8"/>
  <c r="N170" i="8" s="1"/>
  <c r="L172" i="8"/>
  <c r="N172" i="8" s="1"/>
  <c r="L175" i="8"/>
  <c r="N175" i="8" s="1"/>
  <c r="L163" i="8"/>
  <c r="L164" i="8"/>
  <c r="L166" i="8"/>
  <c r="Q163" i="8" l="1"/>
  <c r="N163" i="8"/>
  <c r="N150" i="8"/>
  <c r="Q162" i="8"/>
  <c r="N162" i="8"/>
  <c r="Q164" i="8"/>
  <c r="N164" i="8"/>
  <c r="N153" i="8"/>
  <c r="Q153" i="8"/>
  <c r="Q166" i="8"/>
  <c r="N166" i="8"/>
  <c r="Q165" i="8"/>
  <c r="N165" i="8"/>
  <c r="N157" i="8"/>
  <c r="Q157" i="8"/>
  <c r="Q160" i="8"/>
  <c r="N160" i="8"/>
  <c r="D25" i="9" l="1"/>
  <c r="R39" i="8"/>
  <c r="S39" i="8"/>
  <c r="T39" i="8"/>
  <c r="R40" i="8"/>
  <c r="S40" i="8"/>
  <c r="T40" i="8"/>
  <c r="R41" i="8"/>
  <c r="S41" i="8"/>
  <c r="T41" i="8"/>
  <c r="R42" i="8"/>
  <c r="S42" i="8"/>
  <c r="T42" i="8"/>
  <c r="R43" i="8"/>
  <c r="S43" i="8"/>
  <c r="T43" i="8"/>
  <c r="R44" i="8"/>
  <c r="S44" i="8"/>
  <c r="T44" i="8"/>
  <c r="R45" i="8"/>
  <c r="S45" i="8"/>
  <c r="T45" i="8"/>
  <c r="R46" i="8"/>
  <c r="S46" i="8"/>
  <c r="T46" i="8"/>
  <c r="R47" i="8"/>
  <c r="S47" i="8"/>
  <c r="T47" i="8"/>
  <c r="R48" i="8"/>
  <c r="S48" i="8"/>
  <c r="T48" i="8"/>
  <c r="R49" i="8"/>
  <c r="S49" i="8"/>
  <c r="T49" i="8"/>
  <c r="R50" i="8"/>
  <c r="S50" i="8"/>
  <c r="T50" i="8"/>
  <c r="R51" i="8"/>
  <c r="S51" i="8"/>
  <c r="T51" i="8"/>
  <c r="R52" i="8"/>
  <c r="S52" i="8"/>
  <c r="T52" i="8"/>
  <c r="R53" i="8"/>
  <c r="S53" i="8"/>
  <c r="T53" i="8"/>
  <c r="R54" i="8"/>
  <c r="S54" i="8"/>
  <c r="T54" i="8"/>
  <c r="R55" i="8"/>
  <c r="S55" i="8"/>
  <c r="T55" i="8"/>
  <c r="R56" i="8"/>
  <c r="S56" i="8"/>
  <c r="T56" i="8"/>
  <c r="R57" i="8"/>
  <c r="S57" i="8"/>
  <c r="T57" i="8"/>
  <c r="R58" i="8"/>
  <c r="S58" i="8"/>
  <c r="T58" i="8"/>
  <c r="R59" i="8"/>
  <c r="S59" i="8"/>
  <c r="T59" i="8"/>
  <c r="R60" i="8"/>
  <c r="S60" i="8"/>
  <c r="T60" i="8"/>
  <c r="R61" i="8"/>
  <c r="S61" i="8"/>
  <c r="T61" i="8"/>
  <c r="R62" i="8"/>
  <c r="S62" i="8"/>
  <c r="T62" i="8"/>
  <c r="R63" i="8"/>
  <c r="S63" i="8"/>
  <c r="T63" i="8"/>
  <c r="R64" i="8"/>
  <c r="S64" i="8"/>
  <c r="T64" i="8"/>
  <c r="R65" i="8"/>
  <c r="S65" i="8"/>
  <c r="T65" i="8"/>
  <c r="R66" i="8"/>
  <c r="S66" i="8"/>
  <c r="T66" i="8"/>
  <c r="R67" i="8"/>
  <c r="S67" i="8"/>
  <c r="T67" i="8"/>
  <c r="R68" i="8"/>
  <c r="S68" i="8"/>
  <c r="T68" i="8"/>
  <c r="R69" i="8"/>
  <c r="S69" i="8"/>
  <c r="T69" i="8"/>
  <c r="R70" i="8"/>
  <c r="S70" i="8"/>
  <c r="T70" i="8"/>
  <c r="R71" i="8"/>
  <c r="S71" i="8"/>
  <c r="T71" i="8"/>
  <c r="R72" i="8"/>
  <c r="S72" i="8"/>
  <c r="T72" i="8"/>
  <c r="R73" i="8"/>
  <c r="S73" i="8"/>
  <c r="T73" i="8"/>
  <c r="R74" i="8"/>
  <c r="S74" i="8"/>
  <c r="T74" i="8"/>
  <c r="R75" i="8"/>
  <c r="S75" i="8"/>
  <c r="T75" i="8"/>
  <c r="R76" i="8"/>
  <c r="S76" i="8"/>
  <c r="T76" i="8"/>
  <c r="R77" i="8"/>
  <c r="S77" i="8"/>
  <c r="T77" i="8"/>
  <c r="R78" i="8"/>
  <c r="S78" i="8"/>
  <c r="T78" i="8"/>
  <c r="R79" i="8"/>
  <c r="S79" i="8"/>
  <c r="T79" i="8"/>
  <c r="R80" i="8"/>
  <c r="S80" i="8"/>
  <c r="T80" i="8"/>
  <c r="R81" i="8"/>
  <c r="S81" i="8"/>
  <c r="T81" i="8"/>
  <c r="R82" i="8"/>
  <c r="S82" i="8"/>
  <c r="T82" i="8"/>
  <c r="R83" i="8"/>
  <c r="S83" i="8"/>
  <c r="T83" i="8"/>
  <c r="R84" i="8"/>
  <c r="S84" i="8"/>
  <c r="T84" i="8"/>
  <c r="R86" i="8"/>
  <c r="S86" i="8"/>
  <c r="T86" i="8"/>
  <c r="R88" i="8"/>
  <c r="S88" i="8"/>
  <c r="T88" i="8"/>
  <c r="R89" i="8"/>
  <c r="S89" i="8"/>
  <c r="T89" i="8"/>
  <c r="R90" i="8"/>
  <c r="S90" i="8"/>
  <c r="T90" i="8"/>
  <c r="R91" i="8"/>
  <c r="S91" i="8"/>
  <c r="T91" i="8"/>
  <c r="R92" i="8"/>
  <c r="S92" i="8"/>
  <c r="T92" i="8"/>
  <c r="R93" i="8"/>
  <c r="S93" i="8"/>
  <c r="T93" i="8"/>
  <c r="R94" i="8"/>
  <c r="S94" i="8"/>
  <c r="T94" i="8"/>
  <c r="R95" i="8"/>
  <c r="S95" i="8"/>
  <c r="T95" i="8"/>
  <c r="R96" i="8"/>
  <c r="S96" i="8"/>
  <c r="T96" i="8"/>
  <c r="R97" i="8"/>
  <c r="S97" i="8"/>
  <c r="T97" i="8"/>
  <c r="R98" i="8"/>
  <c r="S98" i="8"/>
  <c r="T98" i="8"/>
  <c r="R99" i="8"/>
  <c r="S99" i="8"/>
  <c r="T99" i="8"/>
  <c r="R100" i="8"/>
  <c r="S100" i="8"/>
  <c r="T100" i="8"/>
  <c r="R101" i="8"/>
  <c r="S101" i="8"/>
  <c r="T101" i="8"/>
  <c r="R102" i="8"/>
  <c r="S102" i="8"/>
  <c r="T102" i="8"/>
  <c r="R103" i="8"/>
  <c r="S103" i="8"/>
  <c r="T103" i="8"/>
  <c r="R104" i="8"/>
  <c r="S104" i="8"/>
  <c r="T104" i="8"/>
  <c r="R105" i="8"/>
  <c r="S105" i="8"/>
  <c r="T105" i="8"/>
  <c r="R106" i="8"/>
  <c r="S106" i="8"/>
  <c r="T106" i="8"/>
  <c r="R107" i="8"/>
  <c r="S107" i="8"/>
  <c r="T107" i="8"/>
  <c r="R108" i="8"/>
  <c r="S108" i="8"/>
  <c r="T108" i="8"/>
  <c r="R109" i="8"/>
  <c r="S109" i="8"/>
  <c r="T109" i="8"/>
  <c r="R110" i="8"/>
  <c r="S110" i="8"/>
  <c r="T110" i="8"/>
  <c r="R111" i="8"/>
  <c r="S111" i="8"/>
  <c r="T111" i="8"/>
  <c r="R112" i="8"/>
  <c r="S112" i="8"/>
  <c r="T112" i="8"/>
  <c r="R113" i="8"/>
  <c r="S113" i="8"/>
  <c r="T113" i="8"/>
  <c r="R114" i="8"/>
  <c r="S114" i="8"/>
  <c r="T114" i="8"/>
  <c r="R115" i="8"/>
  <c r="S115" i="8"/>
  <c r="T115" i="8"/>
  <c r="R117" i="8"/>
  <c r="S117" i="8"/>
  <c r="T117" i="8"/>
  <c r="R118" i="8"/>
  <c r="S118" i="8"/>
  <c r="T118" i="8"/>
  <c r="R119" i="8"/>
  <c r="S119" i="8"/>
  <c r="T119" i="8"/>
  <c r="R120" i="8"/>
  <c r="S120" i="8"/>
  <c r="T120" i="8"/>
  <c r="R121" i="8"/>
  <c r="S121" i="8"/>
  <c r="T121" i="8"/>
  <c r="R123" i="8"/>
  <c r="S123" i="8"/>
  <c r="T123" i="8"/>
  <c r="R124" i="8"/>
  <c r="S124" i="8"/>
  <c r="T124" i="8"/>
  <c r="R125" i="8"/>
  <c r="S125" i="8"/>
  <c r="T125" i="8"/>
  <c r="R126" i="8"/>
  <c r="S126" i="8"/>
  <c r="T126" i="8"/>
  <c r="R127" i="8"/>
  <c r="S127" i="8"/>
  <c r="T127" i="8"/>
  <c r="R128" i="8"/>
  <c r="S128" i="8"/>
  <c r="T128" i="8"/>
  <c r="R129" i="8"/>
  <c r="S129" i="8"/>
  <c r="T129" i="8"/>
  <c r="R130" i="8"/>
  <c r="S130" i="8"/>
  <c r="T130" i="8"/>
  <c r="R131" i="8"/>
  <c r="S131" i="8"/>
  <c r="T131" i="8"/>
  <c r="R132" i="8"/>
  <c r="S132" i="8"/>
  <c r="T132" i="8"/>
  <c r="R133" i="8"/>
  <c r="S133" i="8"/>
  <c r="T133" i="8"/>
  <c r="R135" i="8"/>
  <c r="S135" i="8"/>
  <c r="T135" i="8"/>
  <c r="R136" i="8"/>
  <c r="S136" i="8"/>
  <c r="T136" i="8"/>
  <c r="R137" i="8"/>
  <c r="S137" i="8"/>
  <c r="T137" i="8"/>
  <c r="R139" i="8"/>
  <c r="S139" i="8"/>
  <c r="T139" i="8"/>
  <c r="R140" i="8"/>
  <c r="S140" i="8"/>
  <c r="T140" i="8"/>
  <c r="R141" i="8"/>
  <c r="S141" i="8"/>
  <c r="T141" i="8"/>
  <c r="R142" i="8"/>
  <c r="S142" i="8"/>
  <c r="T142" i="8"/>
  <c r="R143" i="8"/>
  <c r="S143" i="8"/>
  <c r="T143" i="8"/>
  <c r="R144" i="8"/>
  <c r="S144" i="8"/>
  <c r="T144" i="8"/>
  <c r="R145" i="8"/>
  <c r="S145" i="8"/>
  <c r="T145" i="8"/>
  <c r="S146" i="8"/>
  <c r="T146" i="8"/>
  <c r="S147" i="8"/>
  <c r="T147" i="8"/>
  <c r="R160" i="8"/>
  <c r="S160" i="8"/>
  <c r="T160" i="8"/>
  <c r="R161" i="8"/>
  <c r="S161" i="8"/>
  <c r="T161" i="8"/>
  <c r="R163" i="8"/>
  <c r="S163" i="8"/>
  <c r="T163" i="8"/>
  <c r="R164" i="8"/>
  <c r="S164" i="8"/>
  <c r="T164" i="8"/>
  <c r="R165" i="8"/>
  <c r="S165" i="8"/>
  <c r="T165" i="8"/>
  <c r="R166" i="8"/>
  <c r="S166" i="8"/>
  <c r="T166" i="8"/>
  <c r="R167" i="8"/>
  <c r="S167" i="8"/>
  <c r="T167" i="8"/>
  <c r="R168" i="8"/>
  <c r="S168" i="8"/>
  <c r="T168" i="8"/>
  <c r="R169" i="8"/>
  <c r="S169" i="8"/>
  <c r="T169" i="8"/>
  <c r="R170" i="8"/>
  <c r="S170" i="8"/>
  <c r="T170" i="8"/>
  <c r="R171" i="8"/>
  <c r="S171" i="8"/>
  <c r="T171" i="8"/>
  <c r="R172" i="8"/>
  <c r="S172" i="8"/>
  <c r="T172" i="8"/>
  <c r="R173" i="8"/>
  <c r="S173" i="8"/>
  <c r="T173" i="8"/>
  <c r="R175" i="8"/>
  <c r="S175" i="8"/>
  <c r="T175" i="8"/>
  <c r="R176" i="8"/>
  <c r="S176" i="8"/>
  <c r="T176" i="8"/>
  <c r="R177" i="8"/>
  <c r="S177" i="8"/>
  <c r="T177" i="8"/>
  <c r="R178" i="8"/>
  <c r="S178" i="8"/>
  <c r="T178" i="8"/>
  <c r="H147" i="8"/>
  <c r="L147" i="8" s="1"/>
  <c r="Q169" i="8"/>
  <c r="Q170" i="8"/>
  <c r="Q171" i="8"/>
  <c r="Q172" i="8"/>
  <c r="Q173" i="8"/>
  <c r="Q175" i="8"/>
  <c r="Q176" i="8"/>
  <c r="Q177" i="8"/>
  <c r="L168" i="8"/>
  <c r="N168" i="8" s="1"/>
  <c r="Q147" i="8" l="1"/>
  <c r="N147" i="8"/>
  <c r="P178" i="8"/>
  <c r="O178" i="8"/>
  <c r="M178" i="8"/>
  <c r="K178" i="8"/>
  <c r="G178" i="8"/>
  <c r="E178" i="8"/>
  <c r="Q67" i="8" l="1"/>
  <c r="Q83" i="8"/>
  <c r="Q102" i="8"/>
  <c r="Q142" i="8"/>
  <c r="Q139" i="8"/>
  <c r="Q133" i="8"/>
  <c r="Q168" i="8"/>
  <c r="K19" i="9"/>
  <c r="O19" i="9" s="1"/>
  <c r="K18" i="9"/>
  <c r="O18" i="9" s="1"/>
  <c r="K17" i="9"/>
  <c r="O17" i="9" s="1"/>
  <c r="K16" i="9"/>
  <c r="O16" i="9" s="1"/>
  <c r="K15" i="9"/>
  <c r="O15" i="9" s="1"/>
  <c r="K14" i="9"/>
  <c r="K13" i="9"/>
  <c r="O13" i="9" s="1"/>
  <c r="M14" i="9" l="1"/>
  <c r="O14" i="9"/>
  <c r="M16" i="9"/>
  <c r="M19" i="9"/>
  <c r="M13" i="9"/>
  <c r="M15" i="9"/>
  <c r="L36" i="8" l="1"/>
  <c r="L37" i="8"/>
  <c r="L38" i="8"/>
  <c r="L40" i="8"/>
  <c r="L41" i="8"/>
  <c r="L42" i="8"/>
  <c r="L44" i="8"/>
  <c r="L45" i="8"/>
  <c r="L46" i="8"/>
  <c r="L47" i="8"/>
  <c r="L49" i="8"/>
  <c r="Q49" i="8" s="1"/>
  <c r="L50" i="8"/>
  <c r="Q50" i="8" s="1"/>
  <c r="L51" i="8"/>
  <c r="Q51" i="8" s="1"/>
  <c r="L52" i="8"/>
  <c r="Q52" i="8" s="1"/>
  <c r="L53" i="8"/>
  <c r="Q53" i="8" s="1"/>
  <c r="L54" i="8"/>
  <c r="Q54" i="8" s="1"/>
  <c r="L55" i="8"/>
  <c r="Q55" i="8" s="1"/>
  <c r="L57" i="8"/>
  <c r="Q57" i="8" s="1"/>
  <c r="L58" i="8"/>
  <c r="Q58" i="8" s="1"/>
  <c r="L59" i="8"/>
  <c r="L60" i="8"/>
  <c r="Q60" i="8" s="1"/>
  <c r="L61" i="8"/>
  <c r="Q61" i="8" s="1"/>
  <c r="L62" i="8"/>
  <c r="Q62" i="8" s="1"/>
  <c r="L63" i="8"/>
  <c r="Q63" i="8" s="1"/>
  <c r="L64" i="8"/>
  <c r="Q64" i="8" s="1"/>
  <c r="L65" i="8"/>
  <c r="Q65" i="8" s="1"/>
  <c r="L66" i="8"/>
  <c r="Q66" i="8" s="1"/>
  <c r="L68" i="8"/>
  <c r="Q68" i="8" s="1"/>
  <c r="L69" i="8"/>
  <c r="L70" i="8"/>
  <c r="L71" i="8"/>
  <c r="L73" i="8"/>
  <c r="Q73" i="8" s="1"/>
  <c r="L74" i="8"/>
  <c r="L75" i="8"/>
  <c r="L76" i="8"/>
  <c r="L77" i="8"/>
  <c r="L78" i="8"/>
  <c r="L79" i="8"/>
  <c r="L80" i="8"/>
  <c r="L81" i="8"/>
  <c r="L82" i="8"/>
  <c r="L84" i="8"/>
  <c r="L86" i="8"/>
  <c r="L88" i="8"/>
  <c r="L90" i="8"/>
  <c r="Q90" i="8" s="1"/>
  <c r="L91" i="8"/>
  <c r="L92" i="8"/>
  <c r="L93" i="8"/>
  <c r="L94" i="8"/>
  <c r="L95" i="8"/>
  <c r="L96" i="8"/>
  <c r="L97" i="8"/>
  <c r="L98" i="8"/>
  <c r="L99" i="8"/>
  <c r="L100" i="8"/>
  <c r="L101" i="8"/>
  <c r="L103" i="8"/>
  <c r="L104" i="8"/>
  <c r="L105" i="8"/>
  <c r="L107" i="8"/>
  <c r="Q107" i="8" s="1"/>
  <c r="L108" i="8"/>
  <c r="L109" i="8"/>
  <c r="Q109" i="8" s="1"/>
  <c r="L110" i="8"/>
  <c r="Q110" i="8" s="1"/>
  <c r="L111" i="8"/>
  <c r="Q111" i="8" s="1"/>
  <c r="L112" i="8"/>
  <c r="L113" i="8"/>
  <c r="L114" i="8"/>
  <c r="L115" i="8"/>
  <c r="L117" i="8"/>
  <c r="L118" i="8"/>
  <c r="L119" i="8"/>
  <c r="L120" i="8"/>
  <c r="L121" i="8"/>
  <c r="L123" i="8"/>
  <c r="L124" i="8"/>
  <c r="Q126" i="8"/>
  <c r="Q127" i="8"/>
  <c r="Q128" i="8"/>
  <c r="Q129" i="8"/>
  <c r="Q130" i="8"/>
  <c r="Q131" i="8"/>
  <c r="Q132" i="8"/>
  <c r="Q135" i="8"/>
  <c r="Q136" i="8"/>
  <c r="Q137" i="8"/>
  <c r="Q140" i="8"/>
  <c r="Q141" i="8"/>
  <c r="L143" i="8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L4" i="8"/>
  <c r="L5" i="8"/>
  <c r="L6" i="8"/>
  <c r="L7" i="8"/>
  <c r="L8" i="8"/>
  <c r="L9" i="8"/>
  <c r="L10" i="8"/>
  <c r="L11" i="8"/>
  <c r="L12" i="8"/>
  <c r="L13" i="8"/>
  <c r="L14" i="8"/>
  <c r="L15" i="8"/>
  <c r="L16" i="8"/>
  <c r="L17" i="8"/>
  <c r="L18" i="8"/>
  <c r="L3" i="8"/>
  <c r="Q3" i="8" s="1"/>
  <c r="Q108" i="8" l="1"/>
  <c r="Q115" i="8"/>
  <c r="N115" i="8"/>
  <c r="Q97" i="8"/>
  <c r="N97" i="8"/>
  <c r="Q88" i="8"/>
  <c r="N88" i="8"/>
  <c r="Q119" i="8"/>
  <c r="N119" i="8"/>
  <c r="Q114" i="8"/>
  <c r="N114" i="8"/>
  <c r="Q105" i="8"/>
  <c r="N105" i="8"/>
  <c r="Q71" i="8"/>
  <c r="N71" i="8"/>
  <c r="Q113" i="8"/>
  <c r="N113" i="8"/>
  <c r="Q104" i="8"/>
  <c r="N104" i="8"/>
  <c r="Q79" i="8"/>
  <c r="N79" i="8"/>
  <c r="Q70" i="8"/>
  <c r="N70" i="8"/>
  <c r="Q143" i="8"/>
  <c r="N143" i="8"/>
  <c r="Q120" i="8"/>
  <c r="N120" i="8"/>
  <c r="Q101" i="8"/>
  <c r="N101" i="8"/>
  <c r="Q93" i="8"/>
  <c r="N93" i="8"/>
  <c r="Q81" i="8"/>
  <c r="N81" i="8"/>
  <c r="Q77" i="8"/>
  <c r="N77" i="8"/>
  <c r="Q59" i="8"/>
  <c r="N59" i="8"/>
  <c r="Q124" i="8"/>
  <c r="N124" i="8"/>
  <c r="Q92" i="8"/>
  <c r="N92" i="8"/>
  <c r="Q80" i="8"/>
  <c r="N80" i="8"/>
  <c r="Q123" i="8"/>
  <c r="N123" i="8"/>
  <c r="Q118" i="8"/>
  <c r="N118" i="8"/>
  <c r="Q99" i="8"/>
  <c r="N99" i="8"/>
  <c r="Q91" i="8"/>
  <c r="N91" i="8"/>
  <c r="Q84" i="8"/>
  <c r="N84" i="8"/>
  <c r="Q121" i="8"/>
  <c r="N121" i="8"/>
  <c r="Q117" i="8"/>
  <c r="N117" i="8"/>
  <c r="Q112" i="8"/>
  <c r="N112" i="8"/>
  <c r="Q103" i="8"/>
  <c r="N103" i="8"/>
  <c r="Q98" i="8"/>
  <c r="N98" i="8"/>
  <c r="Q94" i="8"/>
  <c r="N94" i="8"/>
  <c r="Q82" i="8"/>
  <c r="N82" i="8"/>
  <c r="Q78" i="8"/>
  <c r="N78" i="8"/>
  <c r="Q74" i="8"/>
  <c r="N74" i="8"/>
  <c r="Q69" i="8"/>
  <c r="N69" i="8"/>
  <c r="Q96" i="8"/>
  <c r="N96" i="8"/>
  <c r="Q100" i="8"/>
  <c r="N100" i="8"/>
  <c r="Q95" i="8"/>
  <c r="N95" i="8"/>
  <c r="Q75" i="8"/>
  <c r="N75" i="8"/>
  <c r="Q86" i="8"/>
  <c r="N86" i="8"/>
  <c r="Q76" i="8"/>
  <c r="N76" i="8"/>
  <c r="N55" i="8"/>
  <c r="Q145" i="8"/>
  <c r="C5" i="13" l="1"/>
  <c r="B5" i="13"/>
  <c r="N50" i="8"/>
  <c r="N57" i="8" l="1"/>
  <c r="N68" i="8"/>
  <c r="N54" i="8"/>
  <c r="N73" i="8"/>
  <c r="N90" i="8"/>
  <c r="N60" i="8" l="1"/>
  <c r="N65" i="8"/>
  <c r="N63" i="8"/>
  <c r="N109" i="8"/>
  <c r="N61" i="8"/>
  <c r="N66" i="8"/>
  <c r="N108" i="8"/>
  <c r="N110" i="8"/>
  <c r="N58" i="8"/>
  <c r="N53" i="8"/>
  <c r="N107" i="8"/>
  <c r="N64" i="8"/>
  <c r="N52" i="8"/>
  <c r="N51" i="8"/>
  <c r="N111" i="8"/>
  <c r="K27" i="9"/>
  <c r="M27" i="9" s="1"/>
  <c r="K26" i="9"/>
  <c r="M26" i="9" s="1"/>
  <c r="K24" i="9"/>
  <c r="M24" i="9" s="1"/>
  <c r="K23" i="9"/>
  <c r="M23" i="9" s="1"/>
  <c r="K22" i="9"/>
  <c r="K21" i="9"/>
  <c r="K25" i="9"/>
  <c r="M25" i="9" s="1"/>
  <c r="O21" i="9" l="1"/>
  <c r="O22" i="9"/>
  <c r="O23" i="9"/>
  <c r="O24" i="9"/>
  <c r="O26" i="9"/>
  <c r="O25" i="9" l="1"/>
  <c r="O27" i="9" l="1"/>
  <c r="M22" i="9"/>
  <c r="M21" i="9"/>
  <c r="B38" i="8" l="1"/>
  <c r="B37" i="8"/>
  <c r="B36" i="8"/>
  <c r="B34" i="8"/>
  <c r="B33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Q203" i="8" l="1"/>
  <c r="Q192" i="8"/>
  <c r="N49" i="8" l="1"/>
  <c r="N126" i="8"/>
  <c r="K192" i="8"/>
  <c r="I197" i="8" l="1"/>
  <c r="I198" i="8"/>
  <c r="N203" i="8"/>
  <c r="P203" i="8"/>
  <c r="J203" i="8"/>
  <c r="I201" i="8"/>
  <c r="M203" i="8"/>
  <c r="L203" i="8"/>
  <c r="I200" i="8"/>
  <c r="K203" i="8"/>
  <c r="I199" i="8"/>
  <c r="P192" i="8"/>
  <c r="I187" i="8"/>
  <c r="I186" i="8"/>
  <c r="I188" i="8"/>
  <c r="J192" i="8"/>
  <c r="N62" i="8" l="1"/>
  <c r="I191" i="8"/>
  <c r="I190" i="8"/>
  <c r="O203" i="8"/>
  <c r="R203" i="8" s="1"/>
  <c r="I189" i="8"/>
  <c r="L192" i="8"/>
  <c r="N192" i="8"/>
  <c r="I202" i="8"/>
  <c r="I203" i="8" s="1"/>
  <c r="M192" i="8"/>
  <c r="O192" i="8"/>
  <c r="R192" i="8" l="1"/>
  <c r="I192" i="8"/>
  <c r="N30" i="9" l="1"/>
  <c r="L30" i="9"/>
  <c r="J30" i="9"/>
  <c r="F30" i="9"/>
  <c r="F31" i="9" s="1"/>
  <c r="E30" i="9"/>
  <c r="E31" i="9" s="1"/>
  <c r="D30" i="9"/>
  <c r="C30" i="9"/>
  <c r="O4" i="9" l="1"/>
  <c r="N3" i="8" l="1"/>
  <c r="N31" i="9" l="1"/>
  <c r="L31" i="9"/>
  <c r="J31" i="9"/>
  <c r="C31" i="9"/>
  <c r="D31" i="9"/>
  <c r="Q46" i="8"/>
  <c r="Q44" i="8"/>
  <c r="Q42" i="8"/>
  <c r="Q41" i="8"/>
  <c r="Q40" i="8"/>
  <c r="T38" i="8"/>
  <c r="S38" i="8"/>
  <c r="R38" i="8"/>
  <c r="T37" i="8"/>
  <c r="S37" i="8"/>
  <c r="R37" i="8"/>
  <c r="Q37" i="8"/>
  <c r="T36" i="8"/>
  <c r="S36" i="8"/>
  <c r="R36" i="8"/>
  <c r="T35" i="8"/>
  <c r="S35" i="8"/>
  <c r="R35" i="8"/>
  <c r="T34" i="8"/>
  <c r="S34" i="8"/>
  <c r="R34" i="8"/>
  <c r="L34" i="8"/>
  <c r="Q34" i="8" s="1"/>
  <c r="T33" i="8"/>
  <c r="S33" i="8"/>
  <c r="R33" i="8"/>
  <c r="L33" i="8"/>
  <c r="L178" i="8" s="1"/>
  <c r="T32" i="8"/>
  <c r="S32" i="8"/>
  <c r="R32" i="8"/>
  <c r="T31" i="8"/>
  <c r="S31" i="8"/>
  <c r="R31" i="8"/>
  <c r="T30" i="8"/>
  <c r="S30" i="8"/>
  <c r="R30" i="8"/>
  <c r="Q30" i="8"/>
  <c r="T29" i="8"/>
  <c r="S29" i="8"/>
  <c r="R29" i="8"/>
  <c r="T28" i="8"/>
  <c r="S28" i="8"/>
  <c r="R28" i="8"/>
  <c r="Q28" i="8"/>
  <c r="T27" i="8"/>
  <c r="S27" i="8"/>
  <c r="R27" i="8"/>
  <c r="T26" i="8"/>
  <c r="S26" i="8"/>
  <c r="R26" i="8"/>
  <c r="Q26" i="8"/>
  <c r="T25" i="8"/>
  <c r="S25" i="8"/>
  <c r="R25" i="8"/>
  <c r="T24" i="8"/>
  <c r="S24" i="8"/>
  <c r="R24" i="8"/>
  <c r="Q24" i="8"/>
  <c r="T23" i="8"/>
  <c r="S23" i="8"/>
  <c r="R23" i="8"/>
  <c r="T22" i="8"/>
  <c r="S22" i="8"/>
  <c r="R22" i="8"/>
  <c r="Q22" i="8"/>
  <c r="T21" i="8"/>
  <c r="S21" i="8"/>
  <c r="R21" i="8"/>
  <c r="T20" i="8"/>
  <c r="S20" i="8"/>
  <c r="R20" i="8"/>
  <c r="Q20" i="8"/>
  <c r="T19" i="8"/>
  <c r="S19" i="8"/>
  <c r="R19" i="8"/>
  <c r="T18" i="8"/>
  <c r="S18" i="8"/>
  <c r="R18" i="8"/>
  <c r="Q18" i="8"/>
  <c r="T17" i="8"/>
  <c r="S17" i="8"/>
  <c r="R17" i="8"/>
  <c r="T16" i="8"/>
  <c r="S16" i="8"/>
  <c r="R16" i="8"/>
  <c r="Q16" i="8"/>
  <c r="T15" i="8"/>
  <c r="S15" i="8"/>
  <c r="R15" i="8"/>
  <c r="T14" i="8"/>
  <c r="S14" i="8"/>
  <c r="R14" i="8"/>
  <c r="Q14" i="8"/>
  <c r="T13" i="8"/>
  <c r="S13" i="8"/>
  <c r="R13" i="8"/>
  <c r="T12" i="8"/>
  <c r="S12" i="8"/>
  <c r="R12" i="8"/>
  <c r="Q12" i="8"/>
  <c r="T11" i="8"/>
  <c r="S11" i="8"/>
  <c r="R11" i="8"/>
  <c r="T10" i="8"/>
  <c r="S10" i="8"/>
  <c r="R10" i="8"/>
  <c r="Q10" i="8"/>
  <c r="T9" i="8"/>
  <c r="S9" i="8"/>
  <c r="R9" i="8"/>
  <c r="T8" i="8"/>
  <c r="S8" i="8"/>
  <c r="R8" i="8"/>
  <c r="Q8" i="8"/>
  <c r="T7" i="8"/>
  <c r="S7" i="8"/>
  <c r="R7" i="8"/>
  <c r="T6" i="8"/>
  <c r="S6" i="8"/>
  <c r="R6" i="8"/>
  <c r="Q6" i="8"/>
  <c r="T5" i="8"/>
  <c r="S5" i="8"/>
  <c r="R5" i="8"/>
  <c r="T4" i="8"/>
  <c r="S4" i="8"/>
  <c r="R4" i="8"/>
  <c r="Q4" i="8"/>
  <c r="T3" i="8"/>
  <c r="S3" i="8"/>
  <c r="R3" i="8"/>
  <c r="R179" i="8" l="1"/>
  <c r="H179" i="8" s="1"/>
  <c r="T179" i="8"/>
  <c r="H181" i="8" s="1"/>
  <c r="S179" i="8"/>
  <c r="H180" i="8" s="1"/>
  <c r="Q33" i="8"/>
  <c r="N7" i="8"/>
  <c r="Q7" i="8"/>
  <c r="N11" i="8"/>
  <c r="Q11" i="8"/>
  <c r="N13" i="8"/>
  <c r="Q13" i="8"/>
  <c r="N17" i="8"/>
  <c r="Q17" i="8"/>
  <c r="N19" i="8"/>
  <c r="Q19" i="8"/>
  <c r="N23" i="8"/>
  <c r="Q23" i="8"/>
  <c r="N29" i="8"/>
  <c r="Q29" i="8"/>
  <c r="N45" i="8"/>
  <c r="Q45" i="8"/>
  <c r="N47" i="8"/>
  <c r="Q47" i="8"/>
  <c r="N36" i="8"/>
  <c r="Q36" i="8"/>
  <c r="N38" i="8"/>
  <c r="Q38" i="8"/>
  <c r="N5" i="8"/>
  <c r="Q5" i="8"/>
  <c r="N9" i="8"/>
  <c r="Q9" i="8"/>
  <c r="N15" i="8"/>
  <c r="Q15" i="8"/>
  <c r="N21" i="8"/>
  <c r="Q21" i="8"/>
  <c r="N25" i="8"/>
  <c r="Q25" i="8"/>
  <c r="N27" i="8"/>
  <c r="Q27" i="8"/>
  <c r="N31" i="8"/>
  <c r="Q31" i="8"/>
  <c r="N42" i="8"/>
  <c r="N37" i="8"/>
  <c r="N26" i="8"/>
  <c r="N46" i="8"/>
  <c r="N10" i="8"/>
  <c r="N30" i="8"/>
  <c r="N33" i="8"/>
  <c r="N41" i="8"/>
  <c r="N16" i="8"/>
  <c r="N28" i="8"/>
  <c r="N8" i="8"/>
  <c r="N4" i="8"/>
  <c r="N14" i="8"/>
  <c r="N20" i="8"/>
  <c r="N6" i="8"/>
  <c r="N12" i="8"/>
  <c r="N22" i="8"/>
  <c r="N18" i="8"/>
  <c r="N24" i="8"/>
  <c r="N40" i="8"/>
  <c r="N44" i="8"/>
  <c r="K30" i="9"/>
  <c r="N34" i="8"/>
  <c r="N178" i="8" l="1"/>
  <c r="O30" i="9"/>
  <c r="M30" i="9"/>
  <c r="K31" i="9"/>
  <c r="O31" i="9" l="1"/>
  <c r="M31" i="9"/>
  <c r="H182" i="8"/>
</calcChain>
</file>

<file path=xl/comments1.xml><?xml version="1.0" encoding="utf-8"?>
<comments xmlns="http://schemas.openxmlformats.org/spreadsheetml/2006/main">
  <authors>
    <author>ROULIER</author>
    <author>Stephane STM. MIGNONAT</author>
  </authors>
  <commentList>
    <comment ref="H2" authorId="0" shapeId="0">
      <text>
        <r>
          <rPr>
            <b/>
            <sz val="9"/>
            <color indexed="81"/>
            <rFont val="Tahoma"/>
            <family val="2"/>
          </rPr>
          <t>ROULIER:</t>
        </r>
        <r>
          <rPr>
            <sz val="9"/>
            <color indexed="81"/>
            <rFont val="Tahoma"/>
            <family val="2"/>
          </rPr>
          <t xml:space="preserve">
MEB
</t>
        </r>
      </text>
    </comment>
    <comment ref="I2" authorId="0" shapeId="0">
      <text>
        <r>
          <rPr>
            <b/>
            <sz val="9"/>
            <color indexed="81"/>
            <rFont val="Tahoma"/>
            <family val="2"/>
          </rPr>
          <t>ROULIER:</t>
        </r>
        <r>
          <rPr>
            <sz val="9"/>
            <color indexed="81"/>
            <rFont val="Tahoma"/>
            <family val="2"/>
          </rPr>
          <t xml:space="preserve">
habillage</t>
        </r>
      </text>
    </comment>
    <comment ref="M59" authorId="0" shapeId="0">
      <text>
        <r>
          <rPr>
            <b/>
            <sz val="9"/>
            <color indexed="81"/>
            <rFont val="Tahoma"/>
            <charset val="1"/>
          </rPr>
          <t>ROULIER:</t>
        </r>
        <r>
          <rPr>
            <sz val="9"/>
            <color indexed="81"/>
            <rFont val="Tahoma"/>
            <charset val="1"/>
          </rPr>
          <t xml:space="preserve">
normal isagri a un stock initial de 275, au lieu de 2086</t>
        </r>
      </text>
    </comment>
    <comment ref="P75" authorId="1" shapeId="0">
      <text>
        <r>
          <rPr>
            <b/>
            <sz val="9"/>
            <color indexed="81"/>
            <rFont val="Tahoma"/>
            <charset val="1"/>
          </rPr>
          <t>Stephane STM. MIGNONAT:</t>
        </r>
        <r>
          <rPr>
            <sz val="9"/>
            <color indexed="81"/>
            <rFont val="Tahoma"/>
            <charset val="1"/>
          </rPr>
          <t xml:space="preserve">
y/c sock externalisés</t>
        </r>
      </text>
    </comment>
    <comment ref="P79" authorId="1" shapeId="0">
      <text>
        <r>
          <rPr>
            <b/>
            <sz val="9"/>
            <color indexed="81"/>
            <rFont val="Tahoma"/>
            <charset val="1"/>
          </rPr>
          <t>Stephane STM. MIGNONAT:</t>
        </r>
        <r>
          <rPr>
            <sz val="9"/>
            <color indexed="81"/>
            <rFont val="Tahoma"/>
            <charset val="1"/>
          </rPr>
          <t xml:space="preserve">
y/c sock externalisés
</t>
        </r>
      </text>
    </comment>
    <comment ref="P81" authorId="1" shapeId="0">
      <text>
        <r>
          <rPr>
            <b/>
            <sz val="9"/>
            <color indexed="81"/>
            <rFont val="Tahoma"/>
            <charset val="1"/>
          </rPr>
          <t>Stephane STM. MIGNONAT:</t>
        </r>
        <r>
          <rPr>
            <sz val="9"/>
            <color indexed="81"/>
            <rFont val="Tahoma"/>
            <charset val="1"/>
          </rPr>
          <t xml:space="preserve">
y/c sock externalisés</t>
        </r>
      </text>
    </comment>
    <comment ref="P108" authorId="1" shapeId="0">
      <text>
        <r>
          <rPr>
            <b/>
            <sz val="9"/>
            <color indexed="81"/>
            <rFont val="Tahoma"/>
            <charset val="1"/>
          </rPr>
          <t>Stephane STM. MIGNONAT:</t>
        </r>
        <r>
          <rPr>
            <sz val="9"/>
            <color indexed="81"/>
            <rFont val="Tahoma"/>
            <charset val="1"/>
          </rPr>
          <t xml:space="preserve">
y/c sock externalisés
</t>
        </r>
      </text>
    </comment>
    <comment ref="P171" authorId="1" shapeId="0">
      <text>
        <r>
          <rPr>
            <b/>
            <sz val="9"/>
            <color indexed="81"/>
            <rFont val="Tahoma"/>
            <charset val="1"/>
          </rPr>
          <t>Stephane STM. MIGNONAT:</t>
        </r>
        <r>
          <rPr>
            <sz val="9"/>
            <color indexed="81"/>
            <rFont val="Tahoma"/>
            <charset val="1"/>
          </rPr>
          <t xml:space="preserve">
y/c sock externalisés
</t>
        </r>
      </text>
    </comment>
    <comment ref="P177" authorId="1" shapeId="0">
      <text>
        <r>
          <rPr>
            <b/>
            <sz val="9"/>
            <color indexed="81"/>
            <rFont val="Tahoma"/>
            <charset val="1"/>
          </rPr>
          <t>Stephane STM. MIGNONAT:</t>
        </r>
        <r>
          <rPr>
            <sz val="9"/>
            <color indexed="81"/>
            <rFont val="Tahoma"/>
            <charset val="1"/>
          </rPr>
          <t xml:space="preserve">
y/c sock externalisés
</t>
        </r>
      </text>
    </comment>
  </commentList>
</comments>
</file>

<file path=xl/sharedStrings.xml><?xml version="1.0" encoding="utf-8"?>
<sst xmlns="http://schemas.openxmlformats.org/spreadsheetml/2006/main" count="579" uniqueCount="512">
  <si>
    <t>Millésime</t>
  </si>
  <si>
    <t>Qualité</t>
  </si>
  <si>
    <t>AOC BLANC</t>
  </si>
  <si>
    <t>AOC ROSE</t>
  </si>
  <si>
    <t>VDT ROUGE</t>
  </si>
  <si>
    <t>lies</t>
  </si>
  <si>
    <t>LGR820750CR</t>
  </si>
  <si>
    <t>LA GRANDE ROMPUE 1982 7</t>
  </si>
  <si>
    <t>SDC820750CR</t>
  </si>
  <si>
    <t>SIMONE DESCAMPS 1982 7</t>
  </si>
  <si>
    <t>CHT840750CR</t>
  </si>
  <si>
    <t>CHATELLENIE 1984 75cl CR</t>
  </si>
  <si>
    <t>LGR840750CR</t>
  </si>
  <si>
    <t>LA GRANDE ROMPUE 1984 7</t>
  </si>
  <si>
    <t>LGR850750CR</t>
  </si>
  <si>
    <t>LA GRANDE ROMPUE 1985 7</t>
  </si>
  <si>
    <t>SDC850750CR</t>
  </si>
  <si>
    <t>SIMONE DESCAMPS 1985 7</t>
  </si>
  <si>
    <t>LGR860750CR</t>
  </si>
  <si>
    <t>LA GRANDE ROMPUE 1986 7</t>
  </si>
  <si>
    <t>LST860750CR</t>
  </si>
  <si>
    <t>RESERVE 1986 75 cl CRD</t>
  </si>
  <si>
    <t>SDC860750CR</t>
  </si>
  <si>
    <t>SIMONE DESCAMPS 1986 7</t>
  </si>
  <si>
    <t>LGR880750CR</t>
  </si>
  <si>
    <t>LA GRANDE ROMPUE 1988 7</t>
  </si>
  <si>
    <t>SDC880750CR</t>
  </si>
  <si>
    <t>SIMONE DESCAMPS 1988 7</t>
  </si>
  <si>
    <t>LGR890750CR</t>
  </si>
  <si>
    <t>LA GRANDE ROMPUE 1989 7</t>
  </si>
  <si>
    <t>LST900750CR</t>
  </si>
  <si>
    <t>RESERVE 1990 75 cl CRD</t>
  </si>
  <si>
    <t>LGR910750CR</t>
  </si>
  <si>
    <t>LA GRANDE ROMPUE 1991 7</t>
  </si>
  <si>
    <t>LGR930750CR</t>
  </si>
  <si>
    <t>LA GRANDE ROMPUE 1993 7</t>
  </si>
  <si>
    <t>LST930750CR</t>
  </si>
  <si>
    <t>RESERVE 1993 75 cl CRD</t>
  </si>
  <si>
    <t>LGR940750CR</t>
  </si>
  <si>
    <t>LA GRANDE ROMPUE 1994 7</t>
  </si>
  <si>
    <t>LST940750CR</t>
  </si>
  <si>
    <t>RESERVE 1994 75 cl CRD</t>
  </si>
  <si>
    <t>SDC940750CR</t>
  </si>
  <si>
    <t>SIMONE DESCAMPS 1994 7</t>
  </si>
  <si>
    <t>LST950750CR</t>
  </si>
  <si>
    <t>RESERVE 1995 75 cl CRD</t>
  </si>
  <si>
    <t>SDC950750CR</t>
  </si>
  <si>
    <t>SIMONE DESCAMPS 1995 7</t>
  </si>
  <si>
    <t>LGR960750CR</t>
  </si>
  <si>
    <t>LA GRANDE ROMPUE 1996 7</t>
  </si>
  <si>
    <t>LGR980750CR</t>
  </si>
  <si>
    <t>LST980750CC</t>
  </si>
  <si>
    <t>RESERVE 1998 75 cl CC</t>
  </si>
  <si>
    <t>SDC980750CR</t>
  </si>
  <si>
    <t>SIMONE DESCAMPS 1998 7</t>
  </si>
  <si>
    <t>LST990750CR</t>
  </si>
  <si>
    <t>RESERVE 1999 75 cl CRD</t>
  </si>
  <si>
    <t>SDC000750CR</t>
  </si>
  <si>
    <t>SIMONE DESCAMPS 2000 7</t>
  </si>
  <si>
    <t>LST010750CR</t>
  </si>
  <si>
    <t>RESERVE 2001 75 cl CRD</t>
  </si>
  <si>
    <t>SDC010750CR</t>
  </si>
  <si>
    <t>SIMONE DESCAMPS 2001 7</t>
  </si>
  <si>
    <t>LST030750CR</t>
  </si>
  <si>
    <t>RESERVE 2003 75 cl CRD</t>
  </si>
  <si>
    <t>SDC030750CR</t>
  </si>
  <si>
    <t>SIMONE DESCAMPS 2003 7</t>
  </si>
  <si>
    <t>LST040750CR</t>
  </si>
  <si>
    <t>RESERVE 2004 75 cl CRD</t>
  </si>
  <si>
    <t>LST041500MAG</t>
  </si>
  <si>
    <t>RESERVE 2004 magnum CRD</t>
  </si>
  <si>
    <t>SDC040750CR</t>
  </si>
  <si>
    <t>SIMONE DESCAMPS 2004 75 cl CRD</t>
  </si>
  <si>
    <t>RESERVE 2005 MAGNUM CRD</t>
  </si>
  <si>
    <t>SIMONE DESCAMPS 2005 75 cl CRD</t>
  </si>
  <si>
    <t>VDT ROSE</t>
  </si>
  <si>
    <t>millesime</t>
  </si>
  <si>
    <t>code article</t>
  </si>
  <si>
    <t>designation article</t>
  </si>
  <si>
    <t>TRANSFO + (VRAC-&gt;BT)</t>
  </si>
  <si>
    <t>TRANSFO - (TB/CN -&gt; CN/CRD)</t>
  </si>
  <si>
    <t>VENTES</t>
  </si>
  <si>
    <t>AJUSTEMENT ERR CODE OU ABS TRANSF°</t>
  </si>
  <si>
    <t>STK THEO CALC</t>
  </si>
  <si>
    <t>ECARTS THEO/PERMA</t>
  </si>
  <si>
    <t>RETRAITEMENT AU STOCK PHYSIQUE</t>
  </si>
  <si>
    <t>ECARTS THEO/PHYS</t>
  </si>
  <si>
    <t>75 cl</t>
  </si>
  <si>
    <t>150 cl</t>
  </si>
  <si>
    <t>300 cl</t>
  </si>
  <si>
    <t>CHATEAU DE LASTOURS "L</t>
  </si>
  <si>
    <t xml:space="preserve">ECART = CASSES </t>
  </si>
  <si>
    <t>total bouteilles vendues</t>
  </si>
  <si>
    <t>TRANSFORMATIONS</t>
  </si>
  <si>
    <t>RECOLTE</t>
  </si>
  <si>
    <t>STOCK CALCULEE</t>
  </si>
  <si>
    <t>INVENT PERMANENT ISAGRI</t>
  </si>
  <si>
    <t>ECART</t>
  </si>
  <si>
    <t>ECARTS</t>
  </si>
  <si>
    <t>TOTAUX en hL</t>
  </si>
  <si>
    <t>TOTAUX en BTLES</t>
  </si>
  <si>
    <t>Lies (2007)</t>
  </si>
  <si>
    <t>Lies (2008)</t>
  </si>
  <si>
    <t>lies (2009)</t>
  </si>
  <si>
    <t>ok contrôle</t>
  </si>
  <si>
    <t>HL</t>
  </si>
  <si>
    <t>CL</t>
  </si>
  <si>
    <t>ARNAUD DE BERRE 2010 75 CL CRD</t>
  </si>
  <si>
    <t xml:space="preserve">nombre de bouteilles habillées : </t>
  </si>
  <si>
    <t>30200 – HABILLAGE</t>
  </si>
  <si>
    <t>30210 – HABILLAGE 75 CL ROSE</t>
  </si>
  <si>
    <t>30220 – HABILLAGE ROSE MAGNUM</t>
  </si>
  <si>
    <t>30230 - HABILLAGE 75 CL ADB/ALD</t>
  </si>
  <si>
    <t xml:space="preserve">30240 - HABILLAGE 75 CL SDC/ALF </t>
  </si>
  <si>
    <t>30250 - HABILLAGE 75 CL RSV</t>
  </si>
  <si>
    <t>30260 – HABILLAGE MAGNUM ROUGE</t>
  </si>
  <si>
    <t>TOTAUX</t>
  </si>
  <si>
    <t>ROSE MAGNUM</t>
  </si>
  <si>
    <t xml:space="preserve"> 75 CL ADB/ALD</t>
  </si>
  <si>
    <t xml:space="preserve">75 CL SDC/ALF </t>
  </si>
  <si>
    <t>75 CL RSV</t>
  </si>
  <si>
    <t>MAGNUM ROUGE</t>
  </si>
  <si>
    <t xml:space="preserve">nombre de mise en bouteilles : </t>
  </si>
  <si>
    <t>MISE EN BOUTEILLES</t>
  </si>
  <si>
    <t>CONTRÔLE STOCK DU 29/04/2013</t>
  </si>
  <si>
    <t xml:space="preserve">date de l'inventaire physique : </t>
  </si>
  <si>
    <t>CRBR300071500B</t>
  </si>
  <si>
    <t>CRBRRSV071500B</t>
  </si>
  <si>
    <t>CRBR300073000B</t>
  </si>
  <si>
    <t>CRBRABR080750B</t>
  </si>
  <si>
    <t>CRBRRSV080750B</t>
  </si>
  <si>
    <t>CRBR300080750B</t>
  </si>
  <si>
    <t>CRBR300081500B</t>
  </si>
  <si>
    <t>CRBR300083000B</t>
  </si>
  <si>
    <t>CRBR200080750B</t>
  </si>
  <si>
    <t>CRBR200081500B</t>
  </si>
  <si>
    <t>CRBRSDC081500B</t>
  </si>
  <si>
    <t>CRBRSDC080750B</t>
  </si>
  <si>
    <t>CRBRADB090750B</t>
  </si>
  <si>
    <t>REGROUPEMENTS CC/CN/CRD</t>
  </si>
  <si>
    <t>CRBR200090750B</t>
  </si>
  <si>
    <t>CRBRSDC090750B</t>
  </si>
  <si>
    <t>CRBR200091500B</t>
  </si>
  <si>
    <t>CRBR300093000B</t>
  </si>
  <si>
    <t>CRBR300090750B</t>
  </si>
  <si>
    <t>CRBR300091500B</t>
  </si>
  <si>
    <t>CRBR100100750B</t>
  </si>
  <si>
    <t>CRBRAVV100750B</t>
  </si>
  <si>
    <t>CRBRADB100750B</t>
  </si>
  <si>
    <t>CRBR200101500B</t>
  </si>
  <si>
    <t>CRBR200100750B</t>
  </si>
  <si>
    <t>CRBR300100750B</t>
  </si>
  <si>
    <t>CRBR300101500B</t>
  </si>
  <si>
    <t>CRBR300103000B</t>
  </si>
  <si>
    <t>CRBRADB101500B</t>
  </si>
  <si>
    <t>CRBR100110750B</t>
  </si>
  <si>
    <t>CRBRAVV110750B</t>
  </si>
  <si>
    <t>ALADERE SELECTION VIEILLES VIGNES 2011 75 CRD</t>
  </si>
  <si>
    <t>CRBRADB110750B</t>
  </si>
  <si>
    <t>CRBR200110750B</t>
  </si>
  <si>
    <t>CRBR200111500B</t>
  </si>
  <si>
    <t>CRBR300111500B</t>
  </si>
  <si>
    <t>CRBR300113000B</t>
  </si>
  <si>
    <t>CRBSRSE120750B</t>
  </si>
  <si>
    <t>LASTOURS ROSE 2012 75 CRD</t>
  </si>
  <si>
    <t>AOC ROUGE Q3</t>
  </si>
  <si>
    <t>AOC ROUGE Q1</t>
  </si>
  <si>
    <t>AOC ROUGE Q2</t>
  </si>
  <si>
    <t>CRBRACC080750B</t>
  </si>
  <si>
    <t>CRBSRSE100750B</t>
  </si>
  <si>
    <t>CRBRABR090750B</t>
  </si>
  <si>
    <t>CRBRRSV090750B</t>
  </si>
  <si>
    <t>CRBRFVV110750B</t>
  </si>
  <si>
    <t>CRBRFBR100750B</t>
  </si>
  <si>
    <t>CRBRSDC100750B</t>
  </si>
  <si>
    <t>CRBRRSV100750B</t>
  </si>
  <si>
    <t>CRBRSDC110750B</t>
  </si>
  <si>
    <t>CRBRRSV110750B</t>
  </si>
  <si>
    <t>CRBRRSV120750B</t>
  </si>
  <si>
    <t xml:space="preserve">Stock Physique au </t>
  </si>
  <si>
    <t>RSE</t>
  </si>
  <si>
    <t>code abr</t>
  </si>
  <si>
    <t>Q2</t>
  </si>
  <si>
    <t>Q3</t>
  </si>
  <si>
    <t>Q1</t>
  </si>
  <si>
    <t>DECLASST</t>
  </si>
  <si>
    <t>OK</t>
  </si>
  <si>
    <t>CRBRABR110750B</t>
  </si>
  <si>
    <t>ABR DBL</t>
  </si>
  <si>
    <t>TARIFS UNITAIRES</t>
  </si>
  <si>
    <t>CODES ARTICLES</t>
  </si>
  <si>
    <t>Code article</t>
  </si>
  <si>
    <t>TOTAL(Quantité)</t>
  </si>
  <si>
    <t>TOTAL(Mt Ht)</t>
  </si>
  <si>
    <t>CRBRRSV060750B</t>
  </si>
  <si>
    <t>CRBRRSV070750B</t>
  </si>
  <si>
    <t>CRBRSDC070750B</t>
  </si>
  <si>
    <t>CRBRSDC120750B</t>
  </si>
  <si>
    <t>CRBSEPH110750B</t>
  </si>
  <si>
    <t>CRBRRSV073000B</t>
  </si>
  <si>
    <t>CRBRSDC071500B</t>
  </si>
  <si>
    <t>CRBRRSE100750B</t>
  </si>
  <si>
    <t>CRBRRSE110750B</t>
  </si>
  <si>
    <t>CRBRRSE110750V</t>
  </si>
  <si>
    <t>CRBRRSE111500B</t>
  </si>
  <si>
    <t>CRBRRSE113000B</t>
  </si>
  <si>
    <t>CRBRRSE120750B</t>
  </si>
  <si>
    <t>CRBRRSE121500B</t>
  </si>
  <si>
    <t>CRBR100120750B</t>
  </si>
  <si>
    <t>CRBR200120750B</t>
  </si>
  <si>
    <t>CRBR300120750B</t>
  </si>
  <si>
    <t>CRBR200121500B</t>
  </si>
  <si>
    <t>CRBR300121500B</t>
  </si>
  <si>
    <t>CRBR300123000B</t>
  </si>
  <si>
    <t>CRBRADB120750B</t>
  </si>
  <si>
    <t>CRBS100130750B</t>
  </si>
  <si>
    <t>CRBS100131500B</t>
  </si>
  <si>
    <t>CRBS100133000B</t>
  </si>
  <si>
    <t>CRBSRSE130750B</t>
  </si>
  <si>
    <t>CRBSRSE131500B</t>
  </si>
  <si>
    <t>CRBSRSE133000B</t>
  </si>
  <si>
    <t>CRBRFVV120750B</t>
  </si>
  <si>
    <t>CRBSALS130750B</t>
  </si>
  <si>
    <t>CRBRAVV120750B</t>
  </si>
  <si>
    <t>CRBRFBR110750B</t>
  </si>
  <si>
    <t>CRBRFBR090750B</t>
  </si>
  <si>
    <t>FONTJONCOUSE BARRIQUE RESERVE 2009 75 CL CRD</t>
  </si>
  <si>
    <t>FBR10</t>
  </si>
  <si>
    <t>SDC11</t>
  </si>
  <si>
    <t>SDC12</t>
  </si>
  <si>
    <t>CRBRSDC130750B</t>
  </si>
  <si>
    <t>SDC13</t>
  </si>
  <si>
    <t>ABR11</t>
  </si>
  <si>
    <t>RSV10</t>
  </si>
  <si>
    <t>FGR10</t>
  </si>
  <si>
    <t>CRBRFGR100750B</t>
  </si>
  <si>
    <t>FGR09</t>
  </si>
  <si>
    <t>CRBRFGR090750B</t>
  </si>
  <si>
    <t>CRBRFGR110750B</t>
  </si>
  <si>
    <t>CRBRRSV081500B</t>
  </si>
  <si>
    <t>RSV09</t>
  </si>
  <si>
    <t>CRBRRSV091500B</t>
  </si>
  <si>
    <t>CRBRRSV111500B</t>
  </si>
  <si>
    <t>CRBRRSV113000B</t>
  </si>
  <si>
    <t>RSV11</t>
  </si>
  <si>
    <t>CRBRRSV121500B</t>
  </si>
  <si>
    <t>RSV13</t>
  </si>
  <si>
    <t>Q1 ROSE 2013 75 CL TB</t>
  </si>
  <si>
    <t>Q1 ROSE 2013 150 CL TB</t>
  </si>
  <si>
    <t>Q1 ROSE 2013 300 CL TB</t>
  </si>
  <si>
    <t>CRBRRSV130750B</t>
  </si>
  <si>
    <t>FONTJONCOUSE GRANDE RESERVE 2010 - 75 cL CRD</t>
  </si>
  <si>
    <t>ALADERES BARRIQUE RESERVE 2010 75 CL CRD</t>
  </si>
  <si>
    <t>CRBR300110750B</t>
  </si>
  <si>
    <t>FONTJONCOUSE PR. VIEILLES VIGNES 2012 75 CL CRD</t>
  </si>
  <si>
    <t>ALADERES ROSE 2013 75 CL CRD</t>
  </si>
  <si>
    <t>LASTOURS ROSE 2013 75 CL CRD</t>
  </si>
  <si>
    <t>LASTOURS ROSE 2013 150 CL CRD</t>
  </si>
  <si>
    <t>LASTOURS ROSE 2013 300 CL CRD</t>
  </si>
  <si>
    <t>LASTOURS SIMONE DESCAMPS 2013 75 CL CRD</t>
  </si>
  <si>
    <t>LASTOURS GRANDE RESERVE 2013 75 CL CRD</t>
  </si>
  <si>
    <t>ADB12</t>
  </si>
  <si>
    <t>AVV12</t>
  </si>
  <si>
    <t>FVV12</t>
  </si>
  <si>
    <t>RSV12</t>
  </si>
  <si>
    <t>RSV12 MAG</t>
  </si>
  <si>
    <t>ALS13</t>
  </si>
  <si>
    <t>RSE13</t>
  </si>
  <si>
    <t>Q2 MAG</t>
  </si>
  <si>
    <t>Q3 MAG</t>
  </si>
  <si>
    <t>Q3 3L</t>
  </si>
  <si>
    <t>FONTJONCOUSE GRANDE RESERVE 2011 75 CL CRD</t>
  </si>
  <si>
    <t>FONTJONCOUSE BARRIQUE RESERVE 2011 75 CL CRD</t>
  </si>
  <si>
    <t>Q1 ENTREE GAMME 2011 75 TB</t>
  </si>
  <si>
    <t>AVV11</t>
  </si>
  <si>
    <t>ADB11</t>
  </si>
  <si>
    <t>FVV11</t>
  </si>
  <si>
    <t>FBR11</t>
  </si>
  <si>
    <t>RSV11 MAG</t>
  </si>
  <si>
    <t>RSV11 3L</t>
  </si>
  <si>
    <t>FGR11</t>
  </si>
  <si>
    <t>SDC09</t>
  </si>
  <si>
    <t>SDC09 MAG</t>
  </si>
  <si>
    <t>FONTJONCOUSE GRANDE RESERVE 2009 75 CL CRD</t>
  </si>
  <si>
    <t>Q2 CŒUR DE GAMME 2009 150 CL TB</t>
  </si>
  <si>
    <t>Q3 HAUT DE GAMME 2009 150 CL TB</t>
  </si>
  <si>
    <t>Q3 HAUT DE GAMME 2009 75 CL TB</t>
  </si>
  <si>
    <t>LASTOURS GRANDE RESERVE 2009 75 CL CRD</t>
  </si>
  <si>
    <t>Q3 HAUT DE GAMME 2009 300 CL TB</t>
  </si>
  <si>
    <t>LASTOURS ROSE 2009 75 CL CRD</t>
  </si>
  <si>
    <t>CRBSRSE090750B</t>
  </si>
  <si>
    <t>RSE09</t>
  </si>
  <si>
    <t>RSV09 MAG</t>
  </si>
  <si>
    <t>LASTOURS GRANDE RESERVE 2009 150 CL CRD</t>
  </si>
  <si>
    <t>RSV07 3L</t>
  </si>
  <si>
    <t>RSV07 MAG</t>
  </si>
  <si>
    <t>RSV07</t>
  </si>
  <si>
    <t>SDC07 MAG</t>
  </si>
  <si>
    <t>SDC07</t>
  </si>
  <si>
    <t>RSE08</t>
  </si>
  <si>
    <t>FBR08</t>
  </si>
  <si>
    <t>ACC08</t>
  </si>
  <si>
    <t>ABR08</t>
  </si>
  <si>
    <t>SDC08</t>
  </si>
  <si>
    <t>RSV08</t>
  </si>
  <si>
    <t>RSV08 MAG</t>
  </si>
  <si>
    <t>RSV08 3L</t>
  </si>
  <si>
    <t>FONTJONCOUSE BARRIQUE RESERVE 2010 75 CL CRD</t>
  </si>
  <si>
    <t>Q2 CŒUR DE GAMME 2010 150 CL TB</t>
  </si>
  <si>
    <t>Q2 CŒUR DE GAMME 2010 75 CL TB</t>
  </si>
  <si>
    <t>Q3 HAUT DE GAMME 2010 75 CL TB</t>
  </si>
  <si>
    <t>Q3 HAUT DE GAMME 2010 150 CL TB</t>
  </si>
  <si>
    <t>Q3 HAUT DE GAMME 2010 300 CL TB</t>
  </si>
  <si>
    <t>CRBRABR100750B</t>
  </si>
  <si>
    <t>CRBSRSE080750B</t>
  </si>
  <si>
    <t>CRBRFBR080750B</t>
  </si>
  <si>
    <t>CRBRRSV083000B</t>
  </si>
  <si>
    <t>CRBRRSV061500B</t>
  </si>
  <si>
    <t>CRBRADB060750B</t>
  </si>
  <si>
    <t>CRBRRSV050750B</t>
  </si>
  <si>
    <t>CRBRRSV051500B</t>
  </si>
  <si>
    <t>CRBRSDC050750B</t>
  </si>
  <si>
    <t>RSV05</t>
  </si>
  <si>
    <t>RSV05 MAG</t>
  </si>
  <si>
    <t>SDC05</t>
  </si>
  <si>
    <t>ADB06</t>
  </si>
  <si>
    <t>CRBRSDC060750B</t>
  </si>
  <si>
    <t>SDC06</t>
  </si>
  <si>
    <t>RSV06</t>
  </si>
  <si>
    <t>RSV06 MAG</t>
  </si>
  <si>
    <t>SDC08 MAG</t>
  </si>
  <si>
    <t>ABR09</t>
  </si>
  <si>
    <t>FBR09</t>
  </si>
  <si>
    <t>ADB10</t>
  </si>
  <si>
    <t>Q1 ENTREE DE GAMME 2010 75 CL TB</t>
  </si>
  <si>
    <t>AVV10</t>
  </si>
  <si>
    <t>RSE10</t>
  </si>
  <si>
    <t>SDC10</t>
  </si>
  <si>
    <t>RSV10 MAG</t>
  </si>
  <si>
    <t>ABR10</t>
  </si>
  <si>
    <t>Q3 HAUT DE GAMME 2008 75 CL TB</t>
  </si>
  <si>
    <t>Q3 HAUT DE GAMME 2008 150 CL TB</t>
  </si>
  <si>
    <t>FONTJONCOUSE BARRIQUE RESERVE 2008 75 CL CRD</t>
  </si>
  <si>
    <t>ALADERES CUVEE CONFIDENTIELLE 2008 75 CL CRD</t>
  </si>
  <si>
    <t>ALADERES BARRIQUES RESERVE 2008 75 CL CRD</t>
  </si>
  <si>
    <t>Q3 HAUT DE GAMME 2008 300 CL TB</t>
  </si>
  <si>
    <t>Q2 CŒUR DE GAMME 2008 75 CL TB</t>
  </si>
  <si>
    <t>Q2 CŒUR DE GAMME 2008 150 CL TB</t>
  </si>
  <si>
    <t>LASTOURS SIMONE DESCAMPS 2008 150 CL CRD</t>
  </si>
  <si>
    <t>LASTOURS GRANDE RESERVE 2008 75 CL CRD</t>
  </si>
  <si>
    <t>LASTOURS GRANDE RESERVE 2008 150 CL CRD</t>
  </si>
  <si>
    <t>LASTOURS SIMONE DESCAMPS 2008 75 CL CRD</t>
  </si>
  <si>
    <t>LASTOURS GRANDE RESERVE 2008 300 CL CRD</t>
  </si>
  <si>
    <t>LASTOURS SIMONE DESCAMPS 2007 75 CL CRD</t>
  </si>
  <si>
    <t>LASTOURS SIMONE DESCAMPS 2007 150 CL CRD</t>
  </si>
  <si>
    <t>LASTOURS GRANDE RESERVE 2007 75 CL CRD</t>
  </si>
  <si>
    <t>Q3 HAUT DE GAMME 2007 150 CL TB</t>
  </si>
  <si>
    <t>LASTOURS GRANDE RESERVE 2007 150 CL CRD</t>
  </si>
  <si>
    <t>Q3 HAUT DE GAMME 2007 300 cL TB</t>
  </si>
  <si>
    <t>LASTOURS GRANDE RESERVE 2007 300 cL CRD</t>
  </si>
  <si>
    <t>LASTOURS ROSE 2008 75 CL CRD</t>
  </si>
  <si>
    <t>CRBRSDC091500B</t>
  </si>
  <si>
    <t>CRBRRSV101500B</t>
  </si>
  <si>
    <t>LASTOURS GRANDE RESERVE 2012 75 CL CRD</t>
  </si>
  <si>
    <t>LASTOURS GRANDE RESERVE 2012 150 CL CRD</t>
  </si>
  <si>
    <t>ALADERES SELECT° VIEILLES VIGNES 2012 75 CL CRD</t>
  </si>
  <si>
    <t>LASTOURS SIMONE DESCAMPS 2012 75 CL CRD</t>
  </si>
  <si>
    <t>LASTOURS ARNAUD DE BERRE 2012 75 CL CRD</t>
  </si>
  <si>
    <t>Q1 ENTREE DE GAMME 2012 75 CL TB</t>
  </si>
  <si>
    <t>Q2 CŒUR DE GAMME 2012 75 CL TB</t>
  </si>
  <si>
    <t>Q2 CŒUR DE GAMME 2012 150 CL TB</t>
  </si>
  <si>
    <t>Q3 HAUT DE GAMME 2012 75 CL TB</t>
  </si>
  <si>
    <t>Q3 HAUT DE GAMME 2012 150 CL TB</t>
  </si>
  <si>
    <t>Q3 HAUT DE GAMME 2012 300 CL TB</t>
  </si>
  <si>
    <t>ALADERES BARRIQUE RESERVE 2009 75 CL CRD</t>
  </si>
  <si>
    <t>RESERVE 2005 75 CL CRD</t>
  </si>
  <si>
    <t>LASTOURS GRANDE RESERVE 2006 150 CL CRD</t>
  </si>
  <si>
    <t>LASTOURS GRANDE RESERVE 2006 75CL CRD</t>
  </si>
  <si>
    <t>LASTOURS SIMONE DESCAMPS 2006 75 CL CR</t>
  </si>
  <si>
    <t>LASTOURS SIMONE DESCAMPS 2009 150 CL CRD</t>
  </si>
  <si>
    <t>LASTOURS SIMONE DESCAMPS 2009 75 CL CRD</t>
  </si>
  <si>
    <t>Q2 CŒUR DE GAMME 2009 75 CL TB</t>
  </si>
  <si>
    <t>ALADERES SELECT° VIEILLES VIGNES 2010 75CL CRD</t>
  </si>
  <si>
    <t>LASTOURS ROSE 2010 75 CL CRD</t>
  </si>
  <si>
    <t>LASTOURS SIMONE DESCAMPS 2010 75 CL CRD</t>
  </si>
  <si>
    <t>LASTOURS GRANDE RESERVE 2010 75 CL CRD</t>
  </si>
  <si>
    <t>LASTOURS GRANDE RESERVE 2010 150 CL CRD</t>
  </si>
  <si>
    <t>LASTOURS ARNAUD DE BERRE 2011 75 CRD</t>
  </si>
  <si>
    <t>LASTOURS SIMONE DESCAMPS 2011 75 CL CRD</t>
  </si>
  <si>
    <t>ALADERES BARRIQUE RESERVE 2011 75 CL CRD</t>
  </si>
  <si>
    <t>Q2 CŒUR DE GAMME 2011 75 CL TB</t>
  </si>
  <si>
    <t>Q2 CŒUR DE GAMME 2011 150 CL TB</t>
  </si>
  <si>
    <t>LASTOURS GRANDE RESERVE 2011 75 cL CRD</t>
  </si>
  <si>
    <t>LASTOURS GRANDE RESERVE 2011 150 cL CRD</t>
  </si>
  <si>
    <t>LASTOURS GRANDE RESERVE 2011 300 cL CRD</t>
  </si>
  <si>
    <t>Q3 HAUT DE GAMME 2011 150 CL TB</t>
  </si>
  <si>
    <t xml:space="preserve">Q3 HAUT DE GAMME 2011 300 CL TB </t>
  </si>
  <si>
    <t>Q3 HAUT DE GAMME 2011 75 CL TB</t>
  </si>
  <si>
    <t>Q1 RSE</t>
  </si>
  <si>
    <t>Q1 RSE MAG</t>
  </si>
  <si>
    <t>Q1 RSE 3L</t>
  </si>
  <si>
    <t>RSE13 MAG</t>
  </si>
  <si>
    <t>RSE13 3L</t>
  </si>
  <si>
    <t>RSE12</t>
  </si>
  <si>
    <t>FONTJONCOUSE SELECT° VIELLE VIGNE 23 75 cL CRD</t>
  </si>
  <si>
    <t>LASTOURS ARNAUD DE BERRE 2006 75 CL CRD</t>
  </si>
  <si>
    <t>INVENTAIRE PHYSIQUE AU 18/12/2014</t>
  </si>
  <si>
    <t>FGR08</t>
  </si>
  <si>
    <t>FONTJONCOUSE GRANDE RESERVE 2008 75 CL CRD</t>
  </si>
  <si>
    <t>ACC12</t>
  </si>
  <si>
    <t>ALADERES CUVEE CONFIDENTIELLE 2012 75 CL CRD</t>
  </si>
  <si>
    <t>Q1 RSE14</t>
  </si>
  <si>
    <t>RSE14 75CL</t>
  </si>
  <si>
    <t>ABR12</t>
  </si>
  <si>
    <t>ALADERES BARRIQUE RESERVE 2012 75 CL CRD</t>
  </si>
  <si>
    <t>ACC09</t>
  </si>
  <si>
    <t>ALADERES CUVEE CONFIDENTIELLE 2009 75 CL CRD</t>
  </si>
  <si>
    <t>ACC10</t>
  </si>
  <si>
    <t>ALADERES CUVEE CONFIDENTIELLE 2010 75 CL CRD</t>
  </si>
  <si>
    <t>ACC12 MAG</t>
  </si>
  <si>
    <t>ALADERES CUVEE CONFIDENTIELLE 2012 150 CL CRD</t>
  </si>
  <si>
    <t>STOCK PHYSIQUE au 31/12/2014</t>
  </si>
  <si>
    <t>Q1 RSE 14 MAG</t>
  </si>
  <si>
    <t>Q1 RSE 14 DBLE MAG</t>
  </si>
  <si>
    <t>Q1 75 CL</t>
  </si>
  <si>
    <t>Q1 150 CL</t>
  </si>
  <si>
    <t>Q2 75 CL</t>
  </si>
  <si>
    <t>Q2 150 CL</t>
  </si>
  <si>
    <t>Q3 75 CL</t>
  </si>
  <si>
    <t>Q3 150 CL</t>
  </si>
  <si>
    <t>Q3 300 CL</t>
  </si>
  <si>
    <t>PINK14</t>
  </si>
  <si>
    <t>ALS14</t>
  </si>
  <si>
    <t>ABR13</t>
  </si>
  <si>
    <t>RSE 14 MAG</t>
  </si>
  <si>
    <t>ALS 14 MAG</t>
  </si>
  <si>
    <t>RSE 14 DBLE MAG</t>
  </si>
  <si>
    <t>ADB13</t>
  </si>
  <si>
    <t>AVV13</t>
  </si>
  <si>
    <t>ADB13 MAG</t>
  </si>
  <si>
    <t>FVV13</t>
  </si>
  <si>
    <t>FBR 13 75 CM</t>
  </si>
  <si>
    <t>PKA 14 MAG</t>
  </si>
  <si>
    <t>FBR12</t>
  </si>
  <si>
    <t>FGR12</t>
  </si>
  <si>
    <t>Q1 ENTREE DE GAMME 2013 75 CL TB</t>
  </si>
  <si>
    <t>FONTJON SELECT° VIEILLES VIGNES 2013 75 CL TB</t>
  </si>
  <si>
    <t>Q2 CŒUR DE GAMME 2013 75 CL TB</t>
  </si>
  <si>
    <t>FONTJON BARRIQUE RESERVE 2013 75 CL TB</t>
  </si>
  <si>
    <t>Q2 CŒUR DE GAMME 2013 150 CL TB</t>
  </si>
  <si>
    <t>Q3 HAUT DE GAMME 2013 75 CL TB</t>
  </si>
  <si>
    <t>Q3 HAUT DE GAMME 2013 150 CL TB</t>
  </si>
  <si>
    <t>Q3 HAUT DE GAMME 2013 300 CL TB</t>
  </si>
  <si>
    <t>LASTOURS ARNAUD DE BERRE 2013 75 CL TB</t>
  </si>
  <si>
    <t>ALADERES SELECT° VIEILLES VIGNES 2013 75 CL TB</t>
  </si>
  <si>
    <t>ALADERES BARRIQUE RESERVE 2013 75 CL TB</t>
  </si>
  <si>
    <t>LASTOURS ARNAUD DE BERRE 2013 150 CL TB</t>
  </si>
  <si>
    <t>LASTOURS ROSE 2014 150 CL TB</t>
  </si>
  <si>
    <t>ALADERES ROSE 2014 75 CL TB</t>
  </si>
  <si>
    <t>LASTOURS ROSE 2014 300 CL TB</t>
  </si>
  <si>
    <t>LASTOURS ROSE 2014 75 CL TB</t>
  </si>
  <si>
    <t>PINK ADDICT ROSE 2014 75 CL TB</t>
  </si>
  <si>
    <t>PINK ADDICT ROSE 2014 150 CL TB</t>
  </si>
  <si>
    <t>ALADERES ROSE 2014 150 CL TB</t>
  </si>
  <si>
    <t>CRBRACC090750B</t>
  </si>
  <si>
    <t>CRBRACC100750B</t>
  </si>
  <si>
    <t>CRBRABR120750B</t>
  </si>
  <si>
    <t>FONTJONCOUSE BARRIQUE RESERVE 2012 75 CL CRD</t>
  </si>
  <si>
    <t>CRBRFBR120750B</t>
  </si>
  <si>
    <t>CRBRACC120750B</t>
  </si>
  <si>
    <t>CRBRFGR120750B</t>
  </si>
  <si>
    <t>FONTJONCOUSE GRANDE RESERVE 2012 75 CL CRD</t>
  </si>
  <si>
    <t>CRBRACC121500B</t>
  </si>
  <si>
    <t>CRBR200130750B</t>
  </si>
  <si>
    <t>CRBR100130750B</t>
  </si>
  <si>
    <t>CRBRAVV130750B</t>
  </si>
  <si>
    <t>CRBRFBR130750B</t>
  </si>
  <si>
    <t>CRBR300130750B</t>
  </si>
  <si>
    <t>CRBR200131500B</t>
  </si>
  <si>
    <t>CRBR300131500B</t>
  </si>
  <si>
    <t>CRBR300133000B</t>
  </si>
  <si>
    <t>CRBRADB130750B</t>
  </si>
  <si>
    <t>CRBRABR130750B</t>
  </si>
  <si>
    <t>CRBRADB131500B</t>
  </si>
  <si>
    <t>CRBS100140750B</t>
  </si>
  <si>
    <t>CRBS100141500B</t>
  </si>
  <si>
    <t>CRBS100143000B</t>
  </si>
  <si>
    <t>CRBSRSE141500B</t>
  </si>
  <si>
    <t>CRBSALS141500B</t>
  </si>
  <si>
    <t>CRBSRSE143000B</t>
  </si>
  <si>
    <t>CRBSPKA141500B</t>
  </si>
  <si>
    <t>CRBSALS140750B</t>
  </si>
  <si>
    <t>CRBSPKA140750B</t>
  </si>
  <si>
    <t>CRBSRSE140750B</t>
  </si>
  <si>
    <t>Vins en vrac - STOCK AU 21/12/2015</t>
  </si>
  <si>
    <t>STOCK PHYSIQUE au 21/12/2015</t>
  </si>
  <si>
    <t>DESALCOOLISATION</t>
  </si>
  <si>
    <t>AJUSTEMENT</t>
  </si>
  <si>
    <t>INVENTAIRE PHYSIQUE AU 21/12/2015</t>
  </si>
  <si>
    <t>inventaire permanent isagri au 31/12/2015</t>
  </si>
  <si>
    <t>ACC09 MAG</t>
  </si>
  <si>
    <t>CRBRACC091500B</t>
  </si>
  <si>
    <t>ALADERE CUVEE CONFIDENTIELLE 2009 150 CL CRD</t>
  </si>
  <si>
    <t>ACC11</t>
  </si>
  <si>
    <t>CRBRACC110750B</t>
  </si>
  <si>
    <t>ALADERES CUVEE CONFIDENTIELLE 2011 75 CL CRD</t>
  </si>
  <si>
    <t>ADB11 MAG</t>
  </si>
  <si>
    <t>CRBRADB111500B</t>
  </si>
  <si>
    <t>ARNAUD DE BERRE 2011 150 CL CRD</t>
  </si>
  <si>
    <t>RSV09 DMAG</t>
  </si>
  <si>
    <t>CRBRRSV093000B</t>
  </si>
  <si>
    <t>LASTOURS GRANDE RESERVE 2009 300 CL CRD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</si>
</sst>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_€_-;\-* #,##0\ _€_-;_-* &quot;-&quot;??\ _€_-;_-@_-"/>
  </numFmts>
  <fonts count="20" x14ac:knownFonts="1">
    <font>
      <sz val="10"/>
      <color theme="1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22"/>
      <name val="Arial"/>
      <family val="2"/>
    </font>
    <font>
      <sz val="10"/>
      <color theme="1"/>
      <name val="Arial"/>
      <family val="2"/>
    </font>
    <font>
      <b/>
      <sz val="10"/>
      <color indexed="10"/>
      <name val="Arial"/>
      <family val="2"/>
    </font>
    <font>
      <b/>
      <u/>
      <sz val="20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Courier"/>
      <family val="3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name val="Arial"/>
      <family val="2"/>
    </font>
    <font>
      <b/>
      <sz val="11"/>
      <name val="Arial"/>
      <family val="2"/>
    </font>
    <font>
      <sz val="9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rgb="FFCC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3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32">
    <xf numFmtId="0" fontId="0" fillId="0" borderId="0"/>
    <xf numFmtId="43" fontId="5" fillId="0" borderId="0" applyFont="0" applyFill="0" applyBorder="0" applyAlignment="0" applyProtection="0"/>
    <xf numFmtId="0" fontId="9" fillId="0" borderId="0"/>
    <xf numFmtId="43" fontId="10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5" fillId="0" borderId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5" fillId="0" borderId="0"/>
  </cellStyleXfs>
  <cellXfs count="192">
    <xf numFmtId="0" fontId="0" fillId="0" borderId="0" xfId="0"/>
    <xf numFmtId="0" fontId="0" fillId="0" borderId="0" xfId="0" applyBorder="1"/>
    <xf numFmtId="0" fontId="2" fillId="0" borderId="0" xfId="0" applyFont="1"/>
    <xf numFmtId="0" fontId="3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0" xfId="0" applyBorder="1" applyAlignment="1">
      <alignment horizontal="left"/>
    </xf>
    <xf numFmtId="3" fontId="0" fillId="0" borderId="0" xfId="0" applyNumberFormat="1" applyBorder="1"/>
    <xf numFmtId="0" fontId="0" fillId="0" borderId="0" xfId="0" applyFont="1" applyBorder="1" applyAlignment="1">
      <alignment horizontal="left"/>
    </xf>
    <xf numFmtId="3" fontId="0" fillId="0" borderId="0" xfId="0" applyNumberFormat="1" applyFont="1" applyBorder="1"/>
    <xf numFmtId="0" fontId="0" fillId="0" borderId="0" xfId="0" applyFill="1" applyBorder="1"/>
    <xf numFmtId="0" fontId="2" fillId="0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center" wrapText="1"/>
    </xf>
    <xf numFmtId="0" fontId="3" fillId="6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3" fillId="7" borderId="1" xfId="0" applyFont="1" applyFill="1" applyBorder="1" applyAlignment="1">
      <alignment horizontal="center" wrapText="1"/>
    </xf>
    <xf numFmtId="0" fontId="2" fillId="6" borderId="1" xfId="0" applyFont="1" applyFill="1" applyBorder="1"/>
    <xf numFmtId="43" fontId="2" fillId="4" borderId="1" xfId="1" applyFont="1" applyFill="1" applyBorder="1"/>
    <xf numFmtId="43" fontId="3" fillId="4" borderId="4" xfId="1" applyFont="1" applyFill="1" applyBorder="1" applyAlignment="1">
      <alignment horizontal="center"/>
    </xf>
    <xf numFmtId="43" fontId="3" fillId="4" borderId="8" xfId="1" applyFont="1" applyFill="1" applyBorder="1" applyAlignment="1">
      <alignment horizontal="center"/>
    </xf>
    <xf numFmtId="43" fontId="6" fillId="0" borderId="8" xfId="1" applyFont="1" applyFill="1" applyBorder="1"/>
    <xf numFmtId="43" fontId="3" fillId="4" borderId="1" xfId="1" applyFont="1" applyFill="1" applyBorder="1" applyAlignment="1">
      <alignment horizontal="center"/>
    </xf>
    <xf numFmtId="3" fontId="0" fillId="0" borderId="0" xfId="0" applyNumberFormat="1" applyFill="1" applyBorder="1"/>
    <xf numFmtId="0" fontId="0" fillId="0" borderId="5" xfId="0" applyBorder="1"/>
    <xf numFmtId="43" fontId="0" fillId="0" borderId="6" xfId="1" applyFont="1" applyBorder="1"/>
    <xf numFmtId="0" fontId="0" fillId="0" borderId="10" xfId="0" applyBorder="1"/>
    <xf numFmtId="43" fontId="0" fillId="0" borderId="11" xfId="1" applyFont="1" applyBorder="1"/>
    <xf numFmtId="43" fontId="0" fillId="0" borderId="12" xfId="1" applyFont="1" applyBorder="1"/>
    <xf numFmtId="0" fontId="0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0" fillId="0" borderId="0" xfId="0" applyFont="1" applyBorder="1"/>
    <xf numFmtId="0" fontId="3" fillId="4" borderId="0" xfId="0" applyFont="1" applyFill="1" applyBorder="1" applyAlignment="1">
      <alignment horizontal="center"/>
    </xf>
    <xf numFmtId="3" fontId="3" fillId="8" borderId="25" xfId="0" applyNumberFormat="1" applyFont="1" applyFill="1" applyBorder="1" applyAlignment="1">
      <alignment horizontal="center"/>
    </xf>
    <xf numFmtId="3" fontId="2" fillId="4" borderId="25" xfId="0" applyNumberFormat="1" applyFont="1" applyFill="1" applyBorder="1" applyAlignment="1">
      <alignment horizontal="center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3" fontId="3" fillId="5" borderId="1" xfId="1" applyFont="1" applyFill="1" applyBorder="1" applyAlignment="1">
      <alignment horizontal="center"/>
    </xf>
    <xf numFmtId="43" fontId="3" fillId="5" borderId="4" xfId="1" applyFont="1" applyFill="1" applyBorder="1" applyAlignment="1">
      <alignment horizontal="center"/>
    </xf>
    <xf numFmtId="43" fontId="6" fillId="5" borderId="8" xfId="1" applyFont="1" applyFill="1" applyBorder="1"/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wrapText="1"/>
    </xf>
    <xf numFmtId="0" fontId="3" fillId="11" borderId="1" xfId="0" applyFont="1" applyFill="1" applyBorder="1" applyAlignment="1">
      <alignment horizontal="center" wrapText="1"/>
    </xf>
    <xf numFmtId="0" fontId="4" fillId="0" borderId="30" xfId="0" applyFont="1" applyBorder="1" applyAlignment="1">
      <alignment vertical="center" wrapText="1"/>
    </xf>
    <xf numFmtId="14" fontId="0" fillId="9" borderId="25" xfId="0" applyNumberFormat="1" applyFill="1" applyBorder="1"/>
    <xf numFmtId="0" fontId="2" fillId="0" borderId="4" xfId="0" applyFont="1" applyFill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2" fillId="4" borderId="4" xfId="0" applyFont="1" applyFill="1" applyBorder="1"/>
    <xf numFmtId="0" fontId="2" fillId="4" borderId="4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4" fillId="0" borderId="30" xfId="0" applyFont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4" borderId="4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Fill="1" applyBorder="1"/>
    <xf numFmtId="0" fontId="2" fillId="2" borderId="16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9" xfId="0" applyFont="1" applyBorder="1"/>
    <xf numFmtId="0" fontId="2" fillId="2" borderId="19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2" fillId="0" borderId="17" xfId="0" applyFont="1" applyBorder="1"/>
    <xf numFmtId="0" fontId="2" fillId="0" borderId="20" xfId="0" applyFont="1" applyBorder="1"/>
    <xf numFmtId="0" fontId="2" fillId="3" borderId="1" xfId="0" applyFont="1" applyFill="1" applyBorder="1" applyAlignment="1">
      <alignment horizontal="center" wrapText="1"/>
    </xf>
    <xf numFmtId="0" fontId="9" fillId="0" borderId="0" xfId="2"/>
    <xf numFmtId="164" fontId="9" fillId="0" borderId="1" xfId="3" applyNumberFormat="1" applyFont="1" applyBorder="1"/>
    <xf numFmtId="0" fontId="9" fillId="0" borderId="1" xfId="2" applyBorder="1"/>
    <xf numFmtId="0" fontId="8" fillId="13" borderId="1" xfId="2" applyFont="1" applyFill="1" applyBorder="1" applyAlignment="1">
      <alignment horizontal="center"/>
    </xf>
    <xf numFmtId="164" fontId="0" fillId="0" borderId="0" xfId="0" applyNumberFormat="1"/>
    <xf numFmtId="0" fontId="2" fillId="4" borderId="1" xfId="0" applyFont="1" applyFill="1" applyBorder="1" applyAlignment="1">
      <alignment vertical="center" wrapText="1"/>
    </xf>
    <xf numFmtId="0" fontId="2" fillId="5" borderId="19" xfId="0" applyFont="1" applyFill="1" applyBorder="1"/>
    <xf numFmtId="0" fontId="2" fillId="0" borderId="19" xfId="0" applyFont="1" applyFill="1" applyBorder="1" applyAlignment="1">
      <alignment vertical="center" wrapText="1"/>
    </xf>
    <xf numFmtId="0" fontId="2" fillId="14" borderId="16" xfId="0" applyFont="1" applyFill="1" applyBorder="1" applyAlignment="1">
      <alignment vertical="center" wrapText="1"/>
    </xf>
    <xf numFmtId="0" fontId="2" fillId="4" borderId="19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2" fillId="4" borderId="24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2" fillId="0" borderId="15" xfId="0" applyFont="1" applyBorder="1" applyAlignment="1">
      <alignment vertical="center"/>
    </xf>
    <xf numFmtId="0" fontId="2" fillId="5" borderId="1" xfId="0" applyFont="1" applyFill="1" applyBorder="1" applyAlignment="1">
      <alignment vertical="center" wrapText="1"/>
    </xf>
    <xf numFmtId="0" fontId="2" fillId="5" borderId="1" xfId="0" applyFont="1" applyFill="1" applyBorder="1"/>
    <xf numFmtId="0" fontId="2" fillId="7" borderId="1" xfId="0" applyFont="1" applyFill="1" applyBorder="1"/>
    <xf numFmtId="0" fontId="2" fillId="9" borderId="1" xfId="0" applyFont="1" applyFill="1" applyBorder="1"/>
    <xf numFmtId="0" fontId="2" fillId="4" borderId="1" xfId="0" applyFont="1" applyFill="1" applyBorder="1"/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2" fillId="0" borderId="16" xfId="0" applyFont="1" applyBorder="1" applyAlignment="1">
      <alignment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vertical="center" wrapText="1"/>
    </xf>
    <xf numFmtId="0" fontId="2" fillId="2" borderId="16" xfId="0" applyFont="1" applyFill="1" applyBorder="1" applyAlignment="1">
      <alignment vertical="center"/>
    </xf>
    <xf numFmtId="0" fontId="2" fillId="14" borderId="1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vertical="center" wrapText="1"/>
    </xf>
    <xf numFmtId="0" fontId="2" fillId="0" borderId="16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11" borderId="1" xfId="0" applyFont="1" applyFill="1" applyBorder="1"/>
    <xf numFmtId="0" fontId="2" fillId="10" borderId="1" xfId="0" applyFont="1" applyFill="1" applyBorder="1"/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8" borderId="1" xfId="0" applyFont="1" applyFill="1" applyBorder="1"/>
    <xf numFmtId="0" fontId="2" fillId="0" borderId="1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/>
    <xf numFmtId="0" fontId="2" fillId="14" borderId="1" xfId="0" applyFont="1" applyFill="1" applyBorder="1" applyAlignment="1">
      <alignment vertical="center"/>
    </xf>
    <xf numFmtId="0" fontId="2" fillId="14" borderId="4" xfId="0" applyFont="1" applyFill="1" applyBorder="1" applyAlignment="1">
      <alignment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 wrapText="1"/>
    </xf>
    <xf numFmtId="0" fontId="2" fillId="0" borderId="9" xfId="0" applyFont="1" applyFill="1" applyBorder="1"/>
    <xf numFmtId="0" fontId="2" fillId="6" borderId="9" xfId="0" applyFont="1" applyFill="1" applyBorder="1"/>
    <xf numFmtId="0" fontId="18" fillId="0" borderId="9" xfId="0" applyFont="1" applyFill="1" applyBorder="1"/>
    <xf numFmtId="0" fontId="2" fillId="0" borderId="0" xfId="0" applyFont="1" applyFill="1"/>
    <xf numFmtId="0" fontId="2" fillId="8" borderId="0" xfId="0" applyFont="1" applyFill="1"/>
    <xf numFmtId="0" fontId="2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2" fillId="5" borderId="9" xfId="0" applyFont="1" applyFill="1" applyBorder="1"/>
    <xf numFmtId="0" fontId="2" fillId="9" borderId="9" xfId="0" applyFont="1" applyFill="1" applyBorder="1"/>
    <xf numFmtId="0" fontId="2" fillId="2" borderId="1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vertical="center" wrapText="1"/>
    </xf>
    <xf numFmtId="0" fontId="2" fillId="2" borderId="19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/>
    </xf>
    <xf numFmtId="0" fontId="2" fillId="12" borderId="0" xfId="0" applyFont="1" applyFill="1"/>
    <xf numFmtId="0" fontId="2" fillId="0" borderId="3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vertical="center" wrapText="1"/>
    </xf>
    <xf numFmtId="0" fontId="2" fillId="13" borderId="1" xfId="0" applyFont="1" applyFill="1" applyBorder="1" applyAlignment="1">
      <alignment vertical="center"/>
    </xf>
    <xf numFmtId="0" fontId="2" fillId="13" borderId="1" xfId="0" applyFont="1" applyFill="1" applyBorder="1"/>
    <xf numFmtId="0" fontId="2" fillId="2" borderId="9" xfId="0" applyFont="1" applyFill="1" applyBorder="1" applyAlignment="1">
      <alignment vertical="center" wrapText="1"/>
    </xf>
    <xf numFmtId="0" fontId="3" fillId="0" borderId="1" xfId="0" applyFont="1" applyFill="1" applyBorder="1"/>
    <xf numFmtId="0" fontId="2" fillId="13" borderId="0" xfId="0" applyFont="1" applyFill="1" applyBorder="1" applyAlignment="1">
      <alignment horizontal="center" vertical="center" wrapText="1"/>
    </xf>
    <xf numFmtId="0" fontId="2" fillId="13" borderId="0" xfId="0" applyFont="1" applyFill="1" applyBorder="1" applyAlignment="1">
      <alignment vertical="center" wrapText="1"/>
    </xf>
    <xf numFmtId="0" fontId="2" fillId="13" borderId="0" xfId="0" applyFont="1" applyFill="1" applyBorder="1" applyAlignment="1">
      <alignment vertical="center"/>
    </xf>
    <xf numFmtId="0" fontId="2" fillId="9" borderId="19" xfId="0" applyFont="1" applyFill="1" applyBorder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5" borderId="19" xfId="0" applyFont="1" applyFill="1" applyBorder="1" applyAlignment="1">
      <alignment horizontal="center" vertical="center"/>
    </xf>
    <xf numFmtId="0" fontId="2" fillId="11" borderId="19" xfId="0" applyFont="1" applyFill="1" applyBorder="1"/>
    <xf numFmtId="0" fontId="2" fillId="5" borderId="1" xfId="0" applyFont="1" applyFill="1" applyBorder="1" applyAlignment="1">
      <alignment horizontal="center" vertical="center"/>
    </xf>
    <xf numFmtId="0" fontId="2" fillId="0" borderId="0" xfId="0" applyFont="1" applyAlignment="1"/>
    <xf numFmtId="0" fontId="2" fillId="0" borderId="18" xfId="0" applyFont="1" applyFill="1" applyBorder="1"/>
    <xf numFmtId="1" fontId="2" fillId="5" borderId="1" xfId="0" applyNumberFormat="1" applyFont="1" applyFill="1" applyBorder="1" applyAlignment="1">
      <alignment horizontal="center" vertical="center"/>
    </xf>
    <xf numFmtId="0" fontId="2" fillId="0" borderId="19" xfId="0" applyFont="1" applyFill="1" applyBorder="1"/>
    <xf numFmtId="0" fontId="2" fillId="9" borderId="4" xfId="0" applyFont="1" applyFill="1" applyBorder="1"/>
    <xf numFmtId="0" fontId="2" fillId="0" borderId="29" xfId="0" applyFont="1" applyBorder="1"/>
    <xf numFmtId="0" fontId="2" fillId="0" borderId="2" xfId="0" applyFont="1" applyBorder="1"/>
    <xf numFmtId="0" fontId="19" fillId="0" borderId="1" xfId="0" applyFont="1" applyBorder="1" applyAlignment="1">
      <alignment vertical="center"/>
    </xf>
    <xf numFmtId="0" fontId="3" fillId="9" borderId="1" xfId="0" applyFont="1" applyFill="1" applyBorder="1"/>
    <xf numFmtId="0" fontId="3" fillId="0" borderId="1" xfId="0" applyFont="1" applyBorder="1"/>
    <xf numFmtId="0" fontId="3" fillId="0" borderId="0" xfId="0" applyFont="1"/>
    <xf numFmtId="0" fontId="2" fillId="8" borderId="4" xfId="0" applyFont="1" applyFill="1" applyBorder="1"/>
    <xf numFmtId="0" fontId="2" fillId="0" borderId="33" xfId="0" applyFont="1" applyBorder="1" applyAlignment="1">
      <alignment horizontal="center" vertical="center" wrapText="1"/>
    </xf>
    <xf numFmtId="0" fontId="17" fillId="0" borderId="1" xfId="0" applyFont="1" applyFill="1" applyBorder="1"/>
    <xf numFmtId="0" fontId="2" fillId="6" borderId="1" xfId="0" applyFont="1" applyFill="1" applyBorder="1" applyAlignment="1">
      <alignment vertical="center"/>
    </xf>
    <xf numFmtId="0" fontId="2" fillId="7" borderId="1" xfId="0" applyFont="1" applyFill="1" applyBorder="1" applyAlignment="1">
      <alignment vertical="center"/>
    </xf>
    <xf numFmtId="0" fontId="2" fillId="9" borderId="1" xfId="0" applyFont="1" applyFill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12" borderId="0" xfId="0" applyFont="1" applyFill="1" applyAlignment="1">
      <alignment vertical="center"/>
    </xf>
    <xf numFmtId="0" fontId="2" fillId="5" borderId="18" xfId="0" applyFont="1" applyFill="1" applyBorder="1" applyAlignment="1">
      <alignment vertical="center" wrapText="1"/>
    </xf>
    <xf numFmtId="0" fontId="2" fillId="5" borderId="19" xfId="0" applyFont="1" applyFill="1" applyBorder="1" applyAlignment="1">
      <alignment vertical="center" wrapText="1"/>
    </xf>
    <xf numFmtId="0" fontId="2" fillId="15" borderId="19" xfId="0" applyFont="1" applyFill="1" applyBorder="1" applyAlignment="1">
      <alignment vertical="center" wrapText="1"/>
    </xf>
    <xf numFmtId="0" fontId="2" fillId="15" borderId="1" xfId="0" applyFont="1" applyFill="1" applyBorder="1" applyAlignment="1">
      <alignment vertical="center" wrapText="1"/>
    </xf>
    <xf numFmtId="0" fontId="3" fillId="15" borderId="19" xfId="0" applyFont="1" applyFill="1" applyBorder="1"/>
    <xf numFmtId="0" fontId="3" fillId="15" borderId="2" xfId="0" applyFont="1" applyFill="1" applyBorder="1" applyAlignment="1">
      <alignment wrapText="1"/>
    </xf>
    <xf numFmtId="0" fontId="19" fillId="0" borderId="4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14" fontId="4" fillId="0" borderId="3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</cellXfs>
  <cellStyles count="32">
    <cellStyle name="Euro" xfId="4"/>
    <cellStyle name="Milliers" xfId="1" builtinId="3"/>
    <cellStyle name="Milliers 2" xfId="5"/>
    <cellStyle name="Milliers 2 2" xfId="6"/>
    <cellStyle name="Milliers 2 2 2" xfId="7"/>
    <cellStyle name="Milliers 2 3" xfId="8"/>
    <cellStyle name="Milliers 3" xfId="9"/>
    <cellStyle name="Milliers 3 2" xfId="10"/>
    <cellStyle name="Milliers 4" xfId="11"/>
    <cellStyle name="Milliers 5" xfId="12"/>
    <cellStyle name="Milliers 6" xfId="13"/>
    <cellStyle name="Milliers 7" xfId="29"/>
    <cellStyle name="Milliers 8" xfId="30"/>
    <cellStyle name="Milliers 9" xfId="3"/>
    <cellStyle name="Non défini" xfId="14"/>
    <cellStyle name="Normal" xfId="0" builtinId="0"/>
    <cellStyle name="Normal 10" xfId="2"/>
    <cellStyle name="Normal 2" xfId="15"/>
    <cellStyle name="Normal 2 2" xfId="16"/>
    <cellStyle name="Normal 2 2 2" xfId="17"/>
    <cellStyle name="Normal 3" xfId="18"/>
    <cellStyle name="Normal 4" xfId="19"/>
    <cellStyle name="Normal 5" xfId="20"/>
    <cellStyle name="Normal 6" xfId="21"/>
    <cellStyle name="Normal 7" xfId="22"/>
    <cellStyle name="Normal 8" xfId="23"/>
    <cellStyle name="Normal 9" xfId="31"/>
    <cellStyle name="Pourcentage 2" xfId="24"/>
    <cellStyle name="Pourcentage 2 2" xfId="25"/>
    <cellStyle name="Pourcentage 3" xfId="26"/>
    <cellStyle name="Pourcentage 4" xfId="27"/>
    <cellStyle name="Pourcentage 5" xf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5"/>
  <sheetViews>
    <sheetView workbookViewId="0">
      <selection activeCell="E6" sqref="E6"/>
    </sheetView>
  </sheetViews>
  <sheetFormatPr baseColWidth="10" defaultRowHeight="12.75" x14ac:dyDescent="0.2"/>
  <sheetData>
    <row r="3" spans="2:5" x14ac:dyDescent="0.2">
      <c r="B3" t="s">
        <v>124</v>
      </c>
    </row>
    <row r="4" spans="2:5" ht="13.5" thickBot="1" x14ac:dyDescent="0.25"/>
    <row r="5" spans="2:5" ht="13.5" thickBot="1" x14ac:dyDescent="0.25">
      <c r="B5" t="s">
        <v>125</v>
      </c>
      <c r="E5" s="52">
        <v>42359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G203"/>
  <sheetViews>
    <sheetView zoomScaleNormal="100" workbookViewId="0">
      <pane xSplit="7" ySplit="2" topLeftCell="H3" activePane="bottomRight" state="frozen"/>
      <selection pane="topRight" activeCell="H1" sqref="H1"/>
      <selection pane="bottomLeft" activeCell="A3" sqref="A3"/>
      <selection pane="bottomRight" activeCell="L191" sqref="L191"/>
    </sheetView>
  </sheetViews>
  <sheetFormatPr baseColWidth="10" defaultRowHeight="12.75" x14ac:dyDescent="0.2"/>
  <cols>
    <col min="1" max="1" width="9.42578125" style="2" customWidth="1"/>
    <col min="2" max="2" width="12.7109375" style="2" bestFit="1" customWidth="1"/>
    <col min="3" max="3" width="17.42578125" style="2" bestFit="1" customWidth="1"/>
    <col min="4" max="4" width="51.28515625" style="160" bestFit="1" customWidth="1"/>
    <col min="5" max="5" width="11.7109375" style="2" customWidth="1"/>
    <col min="6" max="6" width="4.28515625" style="2" customWidth="1"/>
    <col min="7" max="7" width="13.85546875" style="2" customWidth="1"/>
    <col min="8" max="8" width="9.85546875" style="2" bestFit="1" customWidth="1"/>
    <col min="9" max="9" width="11" style="2" bestFit="1" customWidth="1"/>
    <col min="10" max="10" width="8.85546875" style="2" bestFit="1" customWidth="1"/>
    <col min="11" max="11" width="10.85546875" style="2" bestFit="1" customWidth="1"/>
    <col min="12" max="12" width="10.28515625" style="2" bestFit="1" customWidth="1"/>
    <col min="13" max="13" width="10.85546875" style="2" bestFit="1" customWidth="1"/>
    <col min="14" max="14" width="10.28515625" style="2" bestFit="1" customWidth="1"/>
    <col min="15" max="15" width="10.42578125" style="2" bestFit="1" customWidth="1"/>
    <col min="16" max="16" width="10.85546875" style="2" bestFit="1" customWidth="1"/>
    <col min="17" max="17" width="10.28515625" style="2" bestFit="1" customWidth="1"/>
    <col min="18" max="18" width="7" style="2" bestFit="1" customWidth="1"/>
    <col min="19" max="20" width="6" style="2" bestFit="1" customWidth="1"/>
    <col min="21" max="22" width="11.42578125" style="2" hidden="1" customWidth="1"/>
    <col min="23" max="24" width="11.42578125" style="2"/>
    <col min="25" max="26" width="11.85546875" style="2" customWidth="1"/>
    <col min="27" max="257" width="11.42578125" style="2"/>
    <col min="258" max="258" width="8.85546875" style="2" bestFit="1" customWidth="1"/>
    <col min="259" max="259" width="17.42578125" style="2" bestFit="1" customWidth="1"/>
    <col min="260" max="260" width="48.5703125" style="2" bestFit="1" customWidth="1"/>
    <col min="261" max="261" width="22.7109375" style="2" customWidth="1"/>
    <col min="262" max="262" width="4.28515625" style="2" customWidth="1"/>
    <col min="263" max="513" width="11.42578125" style="2"/>
    <col min="514" max="514" width="8.85546875" style="2" bestFit="1" customWidth="1"/>
    <col min="515" max="515" width="17.42578125" style="2" bestFit="1" customWidth="1"/>
    <col min="516" max="516" width="48.5703125" style="2" bestFit="1" customWidth="1"/>
    <col min="517" max="517" width="22.7109375" style="2" customWidth="1"/>
    <col min="518" max="518" width="4.28515625" style="2" customWidth="1"/>
    <col min="519" max="769" width="11.42578125" style="2"/>
    <col min="770" max="770" width="8.85546875" style="2" bestFit="1" customWidth="1"/>
    <col min="771" max="771" width="17.42578125" style="2" bestFit="1" customWidth="1"/>
    <col min="772" max="772" width="48.5703125" style="2" bestFit="1" customWidth="1"/>
    <col min="773" max="773" width="22.7109375" style="2" customWidth="1"/>
    <col min="774" max="774" width="4.28515625" style="2" customWidth="1"/>
    <col min="775" max="1025" width="11.42578125" style="2"/>
    <col min="1026" max="1026" width="8.85546875" style="2" bestFit="1" customWidth="1"/>
    <col min="1027" max="1027" width="17.42578125" style="2" bestFit="1" customWidth="1"/>
    <col min="1028" max="1028" width="48.5703125" style="2" bestFit="1" customWidth="1"/>
    <col min="1029" max="1029" width="22.7109375" style="2" customWidth="1"/>
    <col min="1030" max="1030" width="4.28515625" style="2" customWidth="1"/>
    <col min="1031" max="1281" width="11.42578125" style="2"/>
    <col min="1282" max="1282" width="8.85546875" style="2" bestFit="1" customWidth="1"/>
    <col min="1283" max="1283" width="17.42578125" style="2" bestFit="1" customWidth="1"/>
    <col min="1284" max="1284" width="48.5703125" style="2" bestFit="1" customWidth="1"/>
    <col min="1285" max="1285" width="22.7109375" style="2" customWidth="1"/>
    <col min="1286" max="1286" width="4.28515625" style="2" customWidth="1"/>
    <col min="1287" max="1537" width="11.42578125" style="2"/>
    <col min="1538" max="1538" width="8.85546875" style="2" bestFit="1" customWidth="1"/>
    <col min="1539" max="1539" width="17.42578125" style="2" bestFit="1" customWidth="1"/>
    <col min="1540" max="1540" width="48.5703125" style="2" bestFit="1" customWidth="1"/>
    <col min="1541" max="1541" width="22.7109375" style="2" customWidth="1"/>
    <col min="1542" max="1542" width="4.28515625" style="2" customWidth="1"/>
    <col min="1543" max="1793" width="11.42578125" style="2"/>
    <col min="1794" max="1794" width="8.85546875" style="2" bestFit="1" customWidth="1"/>
    <col min="1795" max="1795" width="17.42578125" style="2" bestFit="1" customWidth="1"/>
    <col min="1796" max="1796" width="48.5703125" style="2" bestFit="1" customWidth="1"/>
    <col min="1797" max="1797" width="22.7109375" style="2" customWidth="1"/>
    <col min="1798" max="1798" width="4.28515625" style="2" customWidth="1"/>
    <col min="1799" max="2049" width="11.42578125" style="2"/>
    <col min="2050" max="2050" width="8.85546875" style="2" bestFit="1" customWidth="1"/>
    <col min="2051" max="2051" width="17.42578125" style="2" bestFit="1" customWidth="1"/>
    <col min="2052" max="2052" width="48.5703125" style="2" bestFit="1" customWidth="1"/>
    <col min="2053" max="2053" width="22.7109375" style="2" customWidth="1"/>
    <col min="2054" max="2054" width="4.28515625" style="2" customWidth="1"/>
    <col min="2055" max="2305" width="11.42578125" style="2"/>
    <col min="2306" max="2306" width="8.85546875" style="2" bestFit="1" customWidth="1"/>
    <col min="2307" max="2307" width="17.42578125" style="2" bestFit="1" customWidth="1"/>
    <col min="2308" max="2308" width="48.5703125" style="2" bestFit="1" customWidth="1"/>
    <col min="2309" max="2309" width="22.7109375" style="2" customWidth="1"/>
    <col min="2310" max="2310" width="4.28515625" style="2" customWidth="1"/>
    <col min="2311" max="2561" width="11.42578125" style="2"/>
    <col min="2562" max="2562" width="8.85546875" style="2" bestFit="1" customWidth="1"/>
    <col min="2563" max="2563" width="17.42578125" style="2" bestFit="1" customWidth="1"/>
    <col min="2564" max="2564" width="48.5703125" style="2" bestFit="1" customWidth="1"/>
    <col min="2565" max="2565" width="22.7109375" style="2" customWidth="1"/>
    <col min="2566" max="2566" width="4.28515625" style="2" customWidth="1"/>
    <col min="2567" max="2817" width="11.42578125" style="2"/>
    <col min="2818" max="2818" width="8.85546875" style="2" bestFit="1" customWidth="1"/>
    <col min="2819" max="2819" width="17.42578125" style="2" bestFit="1" customWidth="1"/>
    <col min="2820" max="2820" width="48.5703125" style="2" bestFit="1" customWidth="1"/>
    <col min="2821" max="2821" width="22.7109375" style="2" customWidth="1"/>
    <col min="2822" max="2822" width="4.28515625" style="2" customWidth="1"/>
    <col min="2823" max="3073" width="11.42578125" style="2"/>
    <col min="3074" max="3074" width="8.85546875" style="2" bestFit="1" customWidth="1"/>
    <col min="3075" max="3075" width="17.42578125" style="2" bestFit="1" customWidth="1"/>
    <col min="3076" max="3076" width="48.5703125" style="2" bestFit="1" customWidth="1"/>
    <col min="3077" max="3077" width="22.7109375" style="2" customWidth="1"/>
    <col min="3078" max="3078" width="4.28515625" style="2" customWidth="1"/>
    <col min="3079" max="3329" width="11.42578125" style="2"/>
    <col min="3330" max="3330" width="8.85546875" style="2" bestFit="1" customWidth="1"/>
    <col min="3331" max="3331" width="17.42578125" style="2" bestFit="1" customWidth="1"/>
    <col min="3332" max="3332" width="48.5703125" style="2" bestFit="1" customWidth="1"/>
    <col min="3333" max="3333" width="22.7109375" style="2" customWidth="1"/>
    <col min="3334" max="3334" width="4.28515625" style="2" customWidth="1"/>
    <col min="3335" max="3585" width="11.42578125" style="2"/>
    <col min="3586" max="3586" width="8.85546875" style="2" bestFit="1" customWidth="1"/>
    <col min="3587" max="3587" width="17.42578125" style="2" bestFit="1" customWidth="1"/>
    <col min="3588" max="3588" width="48.5703125" style="2" bestFit="1" customWidth="1"/>
    <col min="3589" max="3589" width="22.7109375" style="2" customWidth="1"/>
    <col min="3590" max="3590" width="4.28515625" style="2" customWidth="1"/>
    <col min="3591" max="3841" width="11.42578125" style="2"/>
    <col min="3842" max="3842" width="8.85546875" style="2" bestFit="1" customWidth="1"/>
    <col min="3843" max="3843" width="17.42578125" style="2" bestFit="1" customWidth="1"/>
    <col min="3844" max="3844" width="48.5703125" style="2" bestFit="1" customWidth="1"/>
    <col min="3845" max="3845" width="22.7109375" style="2" customWidth="1"/>
    <col min="3846" max="3846" width="4.28515625" style="2" customWidth="1"/>
    <col min="3847" max="4097" width="11.42578125" style="2"/>
    <col min="4098" max="4098" width="8.85546875" style="2" bestFit="1" customWidth="1"/>
    <col min="4099" max="4099" width="17.42578125" style="2" bestFit="1" customWidth="1"/>
    <col min="4100" max="4100" width="48.5703125" style="2" bestFit="1" customWidth="1"/>
    <col min="4101" max="4101" width="22.7109375" style="2" customWidth="1"/>
    <col min="4102" max="4102" width="4.28515625" style="2" customWidth="1"/>
    <col min="4103" max="4353" width="11.42578125" style="2"/>
    <col min="4354" max="4354" width="8.85546875" style="2" bestFit="1" customWidth="1"/>
    <col min="4355" max="4355" width="17.42578125" style="2" bestFit="1" customWidth="1"/>
    <col min="4356" max="4356" width="48.5703125" style="2" bestFit="1" customWidth="1"/>
    <col min="4357" max="4357" width="22.7109375" style="2" customWidth="1"/>
    <col min="4358" max="4358" width="4.28515625" style="2" customWidth="1"/>
    <col min="4359" max="4609" width="11.42578125" style="2"/>
    <col min="4610" max="4610" width="8.85546875" style="2" bestFit="1" customWidth="1"/>
    <col min="4611" max="4611" width="17.42578125" style="2" bestFit="1" customWidth="1"/>
    <col min="4612" max="4612" width="48.5703125" style="2" bestFit="1" customWidth="1"/>
    <col min="4613" max="4613" width="22.7109375" style="2" customWidth="1"/>
    <col min="4614" max="4614" width="4.28515625" style="2" customWidth="1"/>
    <col min="4615" max="4865" width="11.42578125" style="2"/>
    <col min="4866" max="4866" width="8.85546875" style="2" bestFit="1" customWidth="1"/>
    <col min="4867" max="4867" width="17.42578125" style="2" bestFit="1" customWidth="1"/>
    <col min="4868" max="4868" width="48.5703125" style="2" bestFit="1" customWidth="1"/>
    <col min="4869" max="4869" width="22.7109375" style="2" customWidth="1"/>
    <col min="4870" max="4870" width="4.28515625" style="2" customWidth="1"/>
    <col min="4871" max="5121" width="11.42578125" style="2"/>
    <col min="5122" max="5122" width="8.85546875" style="2" bestFit="1" customWidth="1"/>
    <col min="5123" max="5123" width="17.42578125" style="2" bestFit="1" customWidth="1"/>
    <col min="5124" max="5124" width="48.5703125" style="2" bestFit="1" customWidth="1"/>
    <col min="5125" max="5125" width="22.7109375" style="2" customWidth="1"/>
    <col min="5126" max="5126" width="4.28515625" style="2" customWidth="1"/>
    <col min="5127" max="5377" width="11.42578125" style="2"/>
    <col min="5378" max="5378" width="8.85546875" style="2" bestFit="1" customWidth="1"/>
    <col min="5379" max="5379" width="17.42578125" style="2" bestFit="1" customWidth="1"/>
    <col min="5380" max="5380" width="48.5703125" style="2" bestFit="1" customWidth="1"/>
    <col min="5381" max="5381" width="22.7109375" style="2" customWidth="1"/>
    <col min="5382" max="5382" width="4.28515625" style="2" customWidth="1"/>
    <col min="5383" max="5633" width="11.42578125" style="2"/>
    <col min="5634" max="5634" width="8.85546875" style="2" bestFit="1" customWidth="1"/>
    <col min="5635" max="5635" width="17.42578125" style="2" bestFit="1" customWidth="1"/>
    <col min="5636" max="5636" width="48.5703125" style="2" bestFit="1" customWidth="1"/>
    <col min="5637" max="5637" width="22.7109375" style="2" customWidth="1"/>
    <col min="5638" max="5638" width="4.28515625" style="2" customWidth="1"/>
    <col min="5639" max="5889" width="11.42578125" style="2"/>
    <col min="5890" max="5890" width="8.85546875" style="2" bestFit="1" customWidth="1"/>
    <col min="5891" max="5891" width="17.42578125" style="2" bestFit="1" customWidth="1"/>
    <col min="5892" max="5892" width="48.5703125" style="2" bestFit="1" customWidth="1"/>
    <col min="5893" max="5893" width="22.7109375" style="2" customWidth="1"/>
    <col min="5894" max="5894" width="4.28515625" style="2" customWidth="1"/>
    <col min="5895" max="6145" width="11.42578125" style="2"/>
    <col min="6146" max="6146" width="8.85546875" style="2" bestFit="1" customWidth="1"/>
    <col min="6147" max="6147" width="17.42578125" style="2" bestFit="1" customWidth="1"/>
    <col min="6148" max="6148" width="48.5703125" style="2" bestFit="1" customWidth="1"/>
    <col min="6149" max="6149" width="22.7109375" style="2" customWidth="1"/>
    <col min="6150" max="6150" width="4.28515625" style="2" customWidth="1"/>
    <col min="6151" max="6401" width="11.42578125" style="2"/>
    <col min="6402" max="6402" width="8.85546875" style="2" bestFit="1" customWidth="1"/>
    <col min="6403" max="6403" width="17.42578125" style="2" bestFit="1" customWidth="1"/>
    <col min="6404" max="6404" width="48.5703125" style="2" bestFit="1" customWidth="1"/>
    <col min="6405" max="6405" width="22.7109375" style="2" customWidth="1"/>
    <col min="6406" max="6406" width="4.28515625" style="2" customWidth="1"/>
    <col min="6407" max="6657" width="11.42578125" style="2"/>
    <col min="6658" max="6658" width="8.85546875" style="2" bestFit="1" customWidth="1"/>
    <col min="6659" max="6659" width="17.42578125" style="2" bestFit="1" customWidth="1"/>
    <col min="6660" max="6660" width="48.5703125" style="2" bestFit="1" customWidth="1"/>
    <col min="6661" max="6661" width="22.7109375" style="2" customWidth="1"/>
    <col min="6662" max="6662" width="4.28515625" style="2" customWidth="1"/>
    <col min="6663" max="6913" width="11.42578125" style="2"/>
    <col min="6914" max="6914" width="8.85546875" style="2" bestFit="1" customWidth="1"/>
    <col min="6915" max="6915" width="17.42578125" style="2" bestFit="1" customWidth="1"/>
    <col min="6916" max="6916" width="48.5703125" style="2" bestFit="1" customWidth="1"/>
    <col min="6917" max="6917" width="22.7109375" style="2" customWidth="1"/>
    <col min="6918" max="6918" width="4.28515625" style="2" customWidth="1"/>
    <col min="6919" max="7169" width="11.42578125" style="2"/>
    <col min="7170" max="7170" width="8.85546875" style="2" bestFit="1" customWidth="1"/>
    <col min="7171" max="7171" width="17.42578125" style="2" bestFit="1" customWidth="1"/>
    <col min="7172" max="7172" width="48.5703125" style="2" bestFit="1" customWidth="1"/>
    <col min="7173" max="7173" width="22.7109375" style="2" customWidth="1"/>
    <col min="7174" max="7174" width="4.28515625" style="2" customWidth="1"/>
    <col min="7175" max="7425" width="11.42578125" style="2"/>
    <col min="7426" max="7426" width="8.85546875" style="2" bestFit="1" customWidth="1"/>
    <col min="7427" max="7427" width="17.42578125" style="2" bestFit="1" customWidth="1"/>
    <col min="7428" max="7428" width="48.5703125" style="2" bestFit="1" customWidth="1"/>
    <col min="7429" max="7429" width="22.7109375" style="2" customWidth="1"/>
    <col min="7430" max="7430" width="4.28515625" style="2" customWidth="1"/>
    <col min="7431" max="7681" width="11.42578125" style="2"/>
    <col min="7682" max="7682" width="8.85546875" style="2" bestFit="1" customWidth="1"/>
    <col min="7683" max="7683" width="17.42578125" style="2" bestFit="1" customWidth="1"/>
    <col min="7684" max="7684" width="48.5703125" style="2" bestFit="1" customWidth="1"/>
    <col min="7685" max="7685" width="22.7109375" style="2" customWidth="1"/>
    <col min="7686" max="7686" width="4.28515625" style="2" customWidth="1"/>
    <col min="7687" max="7937" width="11.42578125" style="2"/>
    <col min="7938" max="7938" width="8.85546875" style="2" bestFit="1" customWidth="1"/>
    <col min="7939" max="7939" width="17.42578125" style="2" bestFit="1" customWidth="1"/>
    <col min="7940" max="7940" width="48.5703125" style="2" bestFit="1" customWidth="1"/>
    <col min="7941" max="7941" width="22.7109375" style="2" customWidth="1"/>
    <col min="7942" max="7942" width="4.28515625" style="2" customWidth="1"/>
    <col min="7943" max="8193" width="11.42578125" style="2"/>
    <col min="8194" max="8194" width="8.85546875" style="2" bestFit="1" customWidth="1"/>
    <col min="8195" max="8195" width="17.42578125" style="2" bestFit="1" customWidth="1"/>
    <col min="8196" max="8196" width="48.5703125" style="2" bestFit="1" customWidth="1"/>
    <col min="8197" max="8197" width="22.7109375" style="2" customWidth="1"/>
    <col min="8198" max="8198" width="4.28515625" style="2" customWidth="1"/>
    <col min="8199" max="8449" width="11.42578125" style="2"/>
    <col min="8450" max="8450" width="8.85546875" style="2" bestFit="1" customWidth="1"/>
    <col min="8451" max="8451" width="17.42578125" style="2" bestFit="1" customWidth="1"/>
    <col min="8452" max="8452" width="48.5703125" style="2" bestFit="1" customWidth="1"/>
    <col min="8453" max="8453" width="22.7109375" style="2" customWidth="1"/>
    <col min="8454" max="8454" width="4.28515625" style="2" customWidth="1"/>
    <col min="8455" max="8705" width="11.42578125" style="2"/>
    <col min="8706" max="8706" width="8.85546875" style="2" bestFit="1" customWidth="1"/>
    <col min="8707" max="8707" width="17.42578125" style="2" bestFit="1" customWidth="1"/>
    <col min="8708" max="8708" width="48.5703125" style="2" bestFit="1" customWidth="1"/>
    <col min="8709" max="8709" width="22.7109375" style="2" customWidth="1"/>
    <col min="8710" max="8710" width="4.28515625" style="2" customWidth="1"/>
    <col min="8711" max="8961" width="11.42578125" style="2"/>
    <col min="8962" max="8962" width="8.85546875" style="2" bestFit="1" customWidth="1"/>
    <col min="8963" max="8963" width="17.42578125" style="2" bestFit="1" customWidth="1"/>
    <col min="8964" max="8964" width="48.5703125" style="2" bestFit="1" customWidth="1"/>
    <col min="8965" max="8965" width="22.7109375" style="2" customWidth="1"/>
    <col min="8966" max="8966" width="4.28515625" style="2" customWidth="1"/>
    <col min="8967" max="9217" width="11.42578125" style="2"/>
    <col min="9218" max="9218" width="8.85546875" style="2" bestFit="1" customWidth="1"/>
    <col min="9219" max="9219" width="17.42578125" style="2" bestFit="1" customWidth="1"/>
    <col min="9220" max="9220" width="48.5703125" style="2" bestFit="1" customWidth="1"/>
    <col min="9221" max="9221" width="22.7109375" style="2" customWidth="1"/>
    <col min="9222" max="9222" width="4.28515625" style="2" customWidth="1"/>
    <col min="9223" max="9473" width="11.42578125" style="2"/>
    <col min="9474" max="9474" width="8.85546875" style="2" bestFit="1" customWidth="1"/>
    <col min="9475" max="9475" width="17.42578125" style="2" bestFit="1" customWidth="1"/>
    <col min="9476" max="9476" width="48.5703125" style="2" bestFit="1" customWidth="1"/>
    <col min="9477" max="9477" width="22.7109375" style="2" customWidth="1"/>
    <col min="9478" max="9478" width="4.28515625" style="2" customWidth="1"/>
    <col min="9479" max="9729" width="11.42578125" style="2"/>
    <col min="9730" max="9730" width="8.85546875" style="2" bestFit="1" customWidth="1"/>
    <col min="9731" max="9731" width="17.42578125" style="2" bestFit="1" customWidth="1"/>
    <col min="9732" max="9732" width="48.5703125" style="2" bestFit="1" customWidth="1"/>
    <col min="9733" max="9733" width="22.7109375" style="2" customWidth="1"/>
    <col min="9734" max="9734" width="4.28515625" style="2" customWidth="1"/>
    <col min="9735" max="9985" width="11.42578125" style="2"/>
    <col min="9986" max="9986" width="8.85546875" style="2" bestFit="1" customWidth="1"/>
    <col min="9987" max="9987" width="17.42578125" style="2" bestFit="1" customWidth="1"/>
    <col min="9988" max="9988" width="48.5703125" style="2" bestFit="1" customWidth="1"/>
    <col min="9989" max="9989" width="22.7109375" style="2" customWidth="1"/>
    <col min="9990" max="9990" width="4.28515625" style="2" customWidth="1"/>
    <col min="9991" max="10241" width="11.42578125" style="2"/>
    <col min="10242" max="10242" width="8.85546875" style="2" bestFit="1" customWidth="1"/>
    <col min="10243" max="10243" width="17.42578125" style="2" bestFit="1" customWidth="1"/>
    <col min="10244" max="10244" width="48.5703125" style="2" bestFit="1" customWidth="1"/>
    <col min="10245" max="10245" width="22.7109375" style="2" customWidth="1"/>
    <col min="10246" max="10246" width="4.28515625" style="2" customWidth="1"/>
    <col min="10247" max="10497" width="11.42578125" style="2"/>
    <col min="10498" max="10498" width="8.85546875" style="2" bestFit="1" customWidth="1"/>
    <col min="10499" max="10499" width="17.42578125" style="2" bestFit="1" customWidth="1"/>
    <col min="10500" max="10500" width="48.5703125" style="2" bestFit="1" customWidth="1"/>
    <col min="10501" max="10501" width="22.7109375" style="2" customWidth="1"/>
    <col min="10502" max="10502" width="4.28515625" style="2" customWidth="1"/>
    <col min="10503" max="10753" width="11.42578125" style="2"/>
    <col min="10754" max="10754" width="8.85546875" style="2" bestFit="1" customWidth="1"/>
    <col min="10755" max="10755" width="17.42578125" style="2" bestFit="1" customWidth="1"/>
    <col min="10756" max="10756" width="48.5703125" style="2" bestFit="1" customWidth="1"/>
    <col min="10757" max="10757" width="22.7109375" style="2" customWidth="1"/>
    <col min="10758" max="10758" width="4.28515625" style="2" customWidth="1"/>
    <col min="10759" max="11009" width="11.42578125" style="2"/>
    <col min="11010" max="11010" width="8.85546875" style="2" bestFit="1" customWidth="1"/>
    <col min="11011" max="11011" width="17.42578125" style="2" bestFit="1" customWidth="1"/>
    <col min="11012" max="11012" width="48.5703125" style="2" bestFit="1" customWidth="1"/>
    <col min="11013" max="11013" width="22.7109375" style="2" customWidth="1"/>
    <col min="11014" max="11014" width="4.28515625" style="2" customWidth="1"/>
    <col min="11015" max="11265" width="11.42578125" style="2"/>
    <col min="11266" max="11266" width="8.85546875" style="2" bestFit="1" customWidth="1"/>
    <col min="11267" max="11267" width="17.42578125" style="2" bestFit="1" customWidth="1"/>
    <col min="11268" max="11268" width="48.5703125" style="2" bestFit="1" customWidth="1"/>
    <col min="11269" max="11269" width="22.7109375" style="2" customWidth="1"/>
    <col min="11270" max="11270" width="4.28515625" style="2" customWidth="1"/>
    <col min="11271" max="11521" width="11.42578125" style="2"/>
    <col min="11522" max="11522" width="8.85546875" style="2" bestFit="1" customWidth="1"/>
    <col min="11523" max="11523" width="17.42578125" style="2" bestFit="1" customWidth="1"/>
    <col min="11524" max="11524" width="48.5703125" style="2" bestFit="1" customWidth="1"/>
    <col min="11525" max="11525" width="22.7109375" style="2" customWidth="1"/>
    <col min="11526" max="11526" width="4.28515625" style="2" customWidth="1"/>
    <col min="11527" max="11777" width="11.42578125" style="2"/>
    <col min="11778" max="11778" width="8.85546875" style="2" bestFit="1" customWidth="1"/>
    <col min="11779" max="11779" width="17.42578125" style="2" bestFit="1" customWidth="1"/>
    <col min="11780" max="11780" width="48.5703125" style="2" bestFit="1" customWidth="1"/>
    <col min="11781" max="11781" width="22.7109375" style="2" customWidth="1"/>
    <col min="11782" max="11782" width="4.28515625" style="2" customWidth="1"/>
    <col min="11783" max="12033" width="11.42578125" style="2"/>
    <col min="12034" max="12034" width="8.85546875" style="2" bestFit="1" customWidth="1"/>
    <col min="12035" max="12035" width="17.42578125" style="2" bestFit="1" customWidth="1"/>
    <col min="12036" max="12036" width="48.5703125" style="2" bestFit="1" customWidth="1"/>
    <col min="12037" max="12037" width="22.7109375" style="2" customWidth="1"/>
    <col min="12038" max="12038" width="4.28515625" style="2" customWidth="1"/>
    <col min="12039" max="12289" width="11.42578125" style="2"/>
    <col min="12290" max="12290" width="8.85546875" style="2" bestFit="1" customWidth="1"/>
    <col min="12291" max="12291" width="17.42578125" style="2" bestFit="1" customWidth="1"/>
    <col min="12292" max="12292" width="48.5703125" style="2" bestFit="1" customWidth="1"/>
    <col min="12293" max="12293" width="22.7109375" style="2" customWidth="1"/>
    <col min="12294" max="12294" width="4.28515625" style="2" customWidth="1"/>
    <col min="12295" max="12545" width="11.42578125" style="2"/>
    <col min="12546" max="12546" width="8.85546875" style="2" bestFit="1" customWidth="1"/>
    <col min="12547" max="12547" width="17.42578125" style="2" bestFit="1" customWidth="1"/>
    <col min="12548" max="12548" width="48.5703125" style="2" bestFit="1" customWidth="1"/>
    <col min="12549" max="12549" width="22.7109375" style="2" customWidth="1"/>
    <col min="12550" max="12550" width="4.28515625" style="2" customWidth="1"/>
    <col min="12551" max="12801" width="11.42578125" style="2"/>
    <col min="12802" max="12802" width="8.85546875" style="2" bestFit="1" customWidth="1"/>
    <col min="12803" max="12803" width="17.42578125" style="2" bestFit="1" customWidth="1"/>
    <col min="12804" max="12804" width="48.5703125" style="2" bestFit="1" customWidth="1"/>
    <col min="12805" max="12805" width="22.7109375" style="2" customWidth="1"/>
    <col min="12806" max="12806" width="4.28515625" style="2" customWidth="1"/>
    <col min="12807" max="13057" width="11.42578125" style="2"/>
    <col min="13058" max="13058" width="8.85546875" style="2" bestFit="1" customWidth="1"/>
    <col min="13059" max="13059" width="17.42578125" style="2" bestFit="1" customWidth="1"/>
    <col min="13060" max="13060" width="48.5703125" style="2" bestFit="1" customWidth="1"/>
    <col min="13061" max="13061" width="22.7109375" style="2" customWidth="1"/>
    <col min="13062" max="13062" width="4.28515625" style="2" customWidth="1"/>
    <col min="13063" max="13313" width="11.42578125" style="2"/>
    <col min="13314" max="13314" width="8.85546875" style="2" bestFit="1" customWidth="1"/>
    <col min="13315" max="13315" width="17.42578125" style="2" bestFit="1" customWidth="1"/>
    <col min="13316" max="13316" width="48.5703125" style="2" bestFit="1" customWidth="1"/>
    <col min="13317" max="13317" width="22.7109375" style="2" customWidth="1"/>
    <col min="13318" max="13318" width="4.28515625" style="2" customWidth="1"/>
    <col min="13319" max="13569" width="11.42578125" style="2"/>
    <col min="13570" max="13570" width="8.85546875" style="2" bestFit="1" customWidth="1"/>
    <col min="13571" max="13571" width="17.42578125" style="2" bestFit="1" customWidth="1"/>
    <col min="13572" max="13572" width="48.5703125" style="2" bestFit="1" customWidth="1"/>
    <col min="13573" max="13573" width="22.7109375" style="2" customWidth="1"/>
    <col min="13574" max="13574" width="4.28515625" style="2" customWidth="1"/>
    <col min="13575" max="13825" width="11.42578125" style="2"/>
    <col min="13826" max="13826" width="8.85546875" style="2" bestFit="1" customWidth="1"/>
    <col min="13827" max="13827" width="17.42578125" style="2" bestFit="1" customWidth="1"/>
    <col min="13828" max="13828" width="48.5703125" style="2" bestFit="1" customWidth="1"/>
    <col min="13829" max="13829" width="22.7109375" style="2" customWidth="1"/>
    <col min="13830" max="13830" width="4.28515625" style="2" customWidth="1"/>
    <col min="13831" max="14081" width="11.42578125" style="2"/>
    <col min="14082" max="14082" width="8.85546875" style="2" bestFit="1" customWidth="1"/>
    <col min="14083" max="14083" width="17.42578125" style="2" bestFit="1" customWidth="1"/>
    <col min="14084" max="14084" width="48.5703125" style="2" bestFit="1" customWidth="1"/>
    <col min="14085" max="14085" width="22.7109375" style="2" customWidth="1"/>
    <col min="14086" max="14086" width="4.28515625" style="2" customWidth="1"/>
    <col min="14087" max="14337" width="11.42578125" style="2"/>
    <col min="14338" max="14338" width="8.85546875" style="2" bestFit="1" customWidth="1"/>
    <col min="14339" max="14339" width="17.42578125" style="2" bestFit="1" customWidth="1"/>
    <col min="14340" max="14340" width="48.5703125" style="2" bestFit="1" customWidth="1"/>
    <col min="14341" max="14341" width="22.7109375" style="2" customWidth="1"/>
    <col min="14342" max="14342" width="4.28515625" style="2" customWidth="1"/>
    <col min="14343" max="14593" width="11.42578125" style="2"/>
    <col min="14594" max="14594" width="8.85546875" style="2" bestFit="1" customWidth="1"/>
    <col min="14595" max="14595" width="17.42578125" style="2" bestFit="1" customWidth="1"/>
    <col min="14596" max="14596" width="48.5703125" style="2" bestFit="1" customWidth="1"/>
    <col min="14597" max="14597" width="22.7109375" style="2" customWidth="1"/>
    <col min="14598" max="14598" width="4.28515625" style="2" customWidth="1"/>
    <col min="14599" max="14849" width="11.42578125" style="2"/>
    <col min="14850" max="14850" width="8.85546875" style="2" bestFit="1" customWidth="1"/>
    <col min="14851" max="14851" width="17.42578125" style="2" bestFit="1" customWidth="1"/>
    <col min="14852" max="14852" width="48.5703125" style="2" bestFit="1" customWidth="1"/>
    <col min="14853" max="14853" width="22.7109375" style="2" customWidth="1"/>
    <col min="14854" max="14854" width="4.28515625" style="2" customWidth="1"/>
    <col min="14855" max="15105" width="11.42578125" style="2"/>
    <col min="15106" max="15106" width="8.85546875" style="2" bestFit="1" customWidth="1"/>
    <col min="15107" max="15107" width="17.42578125" style="2" bestFit="1" customWidth="1"/>
    <col min="15108" max="15108" width="48.5703125" style="2" bestFit="1" customWidth="1"/>
    <col min="15109" max="15109" width="22.7109375" style="2" customWidth="1"/>
    <col min="15110" max="15110" width="4.28515625" style="2" customWidth="1"/>
    <col min="15111" max="15361" width="11.42578125" style="2"/>
    <col min="15362" max="15362" width="8.85546875" style="2" bestFit="1" customWidth="1"/>
    <col min="15363" max="15363" width="17.42578125" style="2" bestFit="1" customWidth="1"/>
    <col min="15364" max="15364" width="48.5703125" style="2" bestFit="1" customWidth="1"/>
    <col min="15365" max="15365" width="22.7109375" style="2" customWidth="1"/>
    <col min="15366" max="15366" width="4.28515625" style="2" customWidth="1"/>
    <col min="15367" max="15617" width="11.42578125" style="2"/>
    <col min="15618" max="15618" width="8.85546875" style="2" bestFit="1" customWidth="1"/>
    <col min="15619" max="15619" width="17.42578125" style="2" bestFit="1" customWidth="1"/>
    <col min="15620" max="15620" width="48.5703125" style="2" bestFit="1" customWidth="1"/>
    <col min="15621" max="15621" width="22.7109375" style="2" customWidth="1"/>
    <col min="15622" max="15622" width="4.28515625" style="2" customWidth="1"/>
    <col min="15623" max="15873" width="11.42578125" style="2"/>
    <col min="15874" max="15874" width="8.85546875" style="2" bestFit="1" customWidth="1"/>
    <col min="15875" max="15875" width="17.42578125" style="2" bestFit="1" customWidth="1"/>
    <col min="15876" max="15876" width="48.5703125" style="2" bestFit="1" customWidth="1"/>
    <col min="15877" max="15877" width="22.7109375" style="2" customWidth="1"/>
    <col min="15878" max="15878" width="4.28515625" style="2" customWidth="1"/>
    <col min="15879" max="16129" width="11.42578125" style="2"/>
    <col min="16130" max="16130" width="8.85546875" style="2" bestFit="1" customWidth="1"/>
    <col min="16131" max="16131" width="17.42578125" style="2" bestFit="1" customWidth="1"/>
    <col min="16132" max="16132" width="48.5703125" style="2" bestFit="1" customWidth="1"/>
    <col min="16133" max="16133" width="22.7109375" style="2" customWidth="1"/>
    <col min="16134" max="16134" width="4.28515625" style="2" customWidth="1"/>
    <col min="16135" max="16384" width="11.42578125" style="2"/>
  </cols>
  <sheetData>
    <row r="1" spans="1:20" ht="27.75" customHeight="1" x14ac:dyDescent="0.2">
      <c r="A1" s="51" t="s">
        <v>179</v>
      </c>
      <c r="B1" s="51"/>
      <c r="C1" s="51"/>
      <c r="D1" s="59"/>
      <c r="E1" s="51"/>
      <c r="F1" s="51"/>
      <c r="G1" s="51"/>
      <c r="H1" s="51"/>
      <c r="I1" s="190">
        <f>+donnees!E5</f>
        <v>42359</v>
      </c>
      <c r="J1" s="190"/>
      <c r="K1" s="190"/>
      <c r="L1" s="51"/>
      <c r="M1" s="51"/>
      <c r="N1" s="51"/>
      <c r="O1" s="51"/>
      <c r="P1" s="51"/>
      <c r="Q1" s="51"/>
    </row>
    <row r="2" spans="1:20" ht="63.75" x14ac:dyDescent="0.2">
      <c r="A2" s="87" t="s">
        <v>76</v>
      </c>
      <c r="B2" s="87" t="s">
        <v>181</v>
      </c>
      <c r="C2" s="87" t="s">
        <v>77</v>
      </c>
      <c r="D2" s="88" t="s">
        <v>78</v>
      </c>
      <c r="E2" s="62" t="s">
        <v>406</v>
      </c>
      <c r="F2" s="12"/>
      <c r="G2" s="12" t="s">
        <v>139</v>
      </c>
      <c r="H2" s="12" t="s">
        <v>79</v>
      </c>
      <c r="I2" s="13" t="s">
        <v>80</v>
      </c>
      <c r="J2" s="73" t="s">
        <v>81</v>
      </c>
      <c r="K2" s="14" t="s">
        <v>82</v>
      </c>
      <c r="L2" s="15" t="s">
        <v>83</v>
      </c>
      <c r="M2" s="49" t="s">
        <v>499</v>
      </c>
      <c r="N2" s="50" t="s">
        <v>84</v>
      </c>
      <c r="O2" s="14" t="s">
        <v>85</v>
      </c>
      <c r="P2" s="89" t="s">
        <v>498</v>
      </c>
      <c r="Q2" s="14" t="s">
        <v>86</v>
      </c>
      <c r="R2" s="47" t="s">
        <v>87</v>
      </c>
      <c r="S2" s="47" t="s">
        <v>88</v>
      </c>
      <c r="T2" s="48" t="s">
        <v>89</v>
      </c>
    </row>
    <row r="3" spans="1:20" ht="13.5" customHeight="1" x14ac:dyDescent="0.2">
      <c r="A3" s="90">
        <v>1982</v>
      </c>
      <c r="B3" s="90" t="str">
        <f>LEFT(C3,3)</f>
        <v>LGR</v>
      </c>
      <c r="C3" s="91" t="s">
        <v>6</v>
      </c>
      <c r="D3" s="92" t="s">
        <v>7</v>
      </c>
      <c r="E3" s="56">
        <v>141</v>
      </c>
      <c r="F3" s="93">
        <v>75</v>
      </c>
      <c r="G3" s="93"/>
      <c r="H3" s="94"/>
      <c r="I3" s="16"/>
      <c r="J3" s="64"/>
      <c r="K3" s="63"/>
      <c r="L3" s="95">
        <f>SUM(E3:K3)-F3</f>
        <v>141</v>
      </c>
      <c r="M3" s="96"/>
      <c r="N3" s="94">
        <f>+L3-M3</f>
        <v>141</v>
      </c>
      <c r="O3" s="63"/>
      <c r="P3" s="56">
        <v>141</v>
      </c>
      <c r="Q3" s="97">
        <f>+L3+O3-P3</f>
        <v>0</v>
      </c>
      <c r="R3" s="2">
        <f t="shared" ref="R3:R32" si="0">IF(F3=75,H3,)</f>
        <v>0</v>
      </c>
      <c r="S3" s="2">
        <f t="shared" ref="S3:S32" si="1">IF(F3=150,H3,)</f>
        <v>0</v>
      </c>
      <c r="T3" s="2">
        <f t="shared" ref="T3:T32" si="2">IF(F3=300,H3,)</f>
        <v>0</v>
      </c>
    </row>
    <row r="4" spans="1:20" x14ac:dyDescent="0.2">
      <c r="A4" s="98">
        <v>1982</v>
      </c>
      <c r="B4" s="90" t="str">
        <f t="shared" ref="B4:B31" si="3">LEFT(C4,3)</f>
        <v>SDC</v>
      </c>
      <c r="C4" s="99" t="s">
        <v>8</v>
      </c>
      <c r="D4" s="100" t="s">
        <v>9</v>
      </c>
      <c r="E4" s="56">
        <v>111</v>
      </c>
      <c r="F4" s="93">
        <v>75</v>
      </c>
      <c r="G4" s="93"/>
      <c r="H4" s="94"/>
      <c r="I4" s="16"/>
      <c r="J4" s="64"/>
      <c r="K4" s="63"/>
      <c r="L4" s="95">
        <f t="shared" ref="L4:L31" si="4">SUM(E4:K4)-F4</f>
        <v>111</v>
      </c>
      <c r="M4" s="96"/>
      <c r="N4" s="94">
        <f t="shared" ref="N4:N45" si="5">+L4-M4</f>
        <v>111</v>
      </c>
      <c r="O4" s="63"/>
      <c r="P4" s="56">
        <v>111</v>
      </c>
      <c r="Q4" s="97">
        <f t="shared" ref="Q4:Q31" si="6">+L4+O4-P4</f>
        <v>0</v>
      </c>
      <c r="R4" s="2">
        <f t="shared" si="0"/>
        <v>0</v>
      </c>
      <c r="S4" s="2">
        <f t="shared" si="1"/>
        <v>0</v>
      </c>
      <c r="T4" s="2">
        <f t="shared" si="2"/>
        <v>0</v>
      </c>
    </row>
    <row r="5" spans="1:20" x14ac:dyDescent="0.2">
      <c r="A5" s="98">
        <v>1984</v>
      </c>
      <c r="B5" s="90" t="str">
        <f t="shared" si="3"/>
        <v>CHT</v>
      </c>
      <c r="C5" s="99" t="s">
        <v>10</v>
      </c>
      <c r="D5" s="100" t="s">
        <v>11</v>
      </c>
      <c r="E5" s="56">
        <v>147</v>
      </c>
      <c r="F5" s="93">
        <v>75</v>
      </c>
      <c r="G5" s="93"/>
      <c r="H5" s="94"/>
      <c r="I5" s="16"/>
      <c r="J5" s="63"/>
      <c r="K5" s="63"/>
      <c r="L5" s="95">
        <f t="shared" si="4"/>
        <v>147</v>
      </c>
      <c r="M5" s="96"/>
      <c r="N5" s="94">
        <f t="shared" si="5"/>
        <v>147</v>
      </c>
      <c r="O5" s="63"/>
      <c r="P5" s="56">
        <v>147</v>
      </c>
      <c r="Q5" s="97">
        <f t="shared" si="6"/>
        <v>0</v>
      </c>
      <c r="R5" s="2">
        <f t="shared" si="0"/>
        <v>0</v>
      </c>
      <c r="S5" s="2">
        <f t="shared" si="1"/>
        <v>0</v>
      </c>
      <c r="T5" s="2">
        <f t="shared" si="2"/>
        <v>0</v>
      </c>
    </row>
    <row r="6" spans="1:20" x14ac:dyDescent="0.2">
      <c r="A6" s="98">
        <v>1984</v>
      </c>
      <c r="B6" s="90" t="str">
        <f t="shared" si="3"/>
        <v>LGR</v>
      </c>
      <c r="C6" s="99" t="s">
        <v>12</v>
      </c>
      <c r="D6" s="100" t="s">
        <v>13</v>
      </c>
      <c r="E6" s="56">
        <v>38</v>
      </c>
      <c r="F6" s="93">
        <v>75</v>
      </c>
      <c r="G6" s="93"/>
      <c r="H6" s="94"/>
      <c r="I6" s="16"/>
      <c r="J6" s="63"/>
      <c r="K6" s="63"/>
      <c r="L6" s="95">
        <f t="shared" si="4"/>
        <v>38</v>
      </c>
      <c r="M6" s="96"/>
      <c r="N6" s="94">
        <f t="shared" si="5"/>
        <v>38</v>
      </c>
      <c r="O6" s="63"/>
      <c r="P6" s="56">
        <v>38</v>
      </c>
      <c r="Q6" s="97">
        <f t="shared" si="6"/>
        <v>0</v>
      </c>
      <c r="R6" s="2">
        <f t="shared" si="0"/>
        <v>0</v>
      </c>
      <c r="S6" s="2">
        <f t="shared" si="1"/>
        <v>0</v>
      </c>
      <c r="T6" s="2">
        <f t="shared" si="2"/>
        <v>0</v>
      </c>
    </row>
    <row r="7" spans="1:20" x14ac:dyDescent="0.2">
      <c r="A7" s="98">
        <v>1985</v>
      </c>
      <c r="B7" s="90" t="str">
        <f t="shared" si="3"/>
        <v>LGR</v>
      </c>
      <c r="C7" s="99" t="s">
        <v>14</v>
      </c>
      <c r="D7" s="100" t="s">
        <v>15</v>
      </c>
      <c r="E7" s="56">
        <v>7</v>
      </c>
      <c r="F7" s="93">
        <v>75</v>
      </c>
      <c r="G7" s="93"/>
      <c r="H7" s="94"/>
      <c r="I7" s="16"/>
      <c r="J7" s="63"/>
      <c r="K7" s="63"/>
      <c r="L7" s="95">
        <f t="shared" si="4"/>
        <v>7</v>
      </c>
      <c r="M7" s="96"/>
      <c r="N7" s="94">
        <f t="shared" si="5"/>
        <v>7</v>
      </c>
      <c r="O7" s="63"/>
      <c r="P7" s="56">
        <v>7</v>
      </c>
      <c r="Q7" s="97">
        <f t="shared" si="6"/>
        <v>0</v>
      </c>
      <c r="R7" s="2">
        <f t="shared" si="0"/>
        <v>0</v>
      </c>
      <c r="S7" s="2">
        <f t="shared" si="1"/>
        <v>0</v>
      </c>
      <c r="T7" s="2">
        <f t="shared" si="2"/>
        <v>0</v>
      </c>
    </row>
    <row r="8" spans="1:20" x14ac:dyDescent="0.2">
      <c r="A8" s="98">
        <v>1985</v>
      </c>
      <c r="B8" s="90" t="str">
        <f t="shared" si="3"/>
        <v>SDC</v>
      </c>
      <c r="C8" s="99" t="s">
        <v>16</v>
      </c>
      <c r="D8" s="100" t="s">
        <v>17</v>
      </c>
      <c r="E8" s="56">
        <v>136</v>
      </c>
      <c r="F8" s="93">
        <v>75</v>
      </c>
      <c r="G8" s="93"/>
      <c r="H8" s="94"/>
      <c r="I8" s="16"/>
      <c r="J8" s="63"/>
      <c r="K8" s="63"/>
      <c r="L8" s="95">
        <f t="shared" si="4"/>
        <v>136</v>
      </c>
      <c r="M8" s="96"/>
      <c r="N8" s="94">
        <f t="shared" si="5"/>
        <v>136</v>
      </c>
      <c r="O8" s="63"/>
      <c r="P8" s="56">
        <v>136</v>
      </c>
      <c r="Q8" s="97">
        <f t="shared" si="6"/>
        <v>0</v>
      </c>
      <c r="R8" s="2">
        <f t="shared" si="0"/>
        <v>0</v>
      </c>
      <c r="S8" s="2">
        <f t="shared" si="1"/>
        <v>0</v>
      </c>
      <c r="T8" s="2">
        <f t="shared" si="2"/>
        <v>0</v>
      </c>
    </row>
    <row r="9" spans="1:20" x14ac:dyDescent="0.2">
      <c r="A9" s="98">
        <v>1986</v>
      </c>
      <c r="B9" s="90" t="str">
        <f t="shared" si="3"/>
        <v>LGR</v>
      </c>
      <c r="C9" s="99" t="s">
        <v>18</v>
      </c>
      <c r="D9" s="100" t="s">
        <v>19</v>
      </c>
      <c r="E9" s="56">
        <v>85</v>
      </c>
      <c r="F9" s="93">
        <v>75</v>
      </c>
      <c r="G9" s="93"/>
      <c r="H9" s="94"/>
      <c r="I9" s="16"/>
      <c r="J9" s="63"/>
      <c r="K9" s="63"/>
      <c r="L9" s="95">
        <f t="shared" si="4"/>
        <v>85</v>
      </c>
      <c r="M9" s="96"/>
      <c r="N9" s="94">
        <f t="shared" si="5"/>
        <v>85</v>
      </c>
      <c r="O9" s="63"/>
      <c r="P9" s="56">
        <v>85</v>
      </c>
      <c r="Q9" s="97">
        <f t="shared" si="6"/>
        <v>0</v>
      </c>
      <c r="R9" s="2">
        <f t="shared" si="0"/>
        <v>0</v>
      </c>
      <c r="S9" s="2">
        <f t="shared" si="1"/>
        <v>0</v>
      </c>
      <c r="T9" s="2">
        <f t="shared" si="2"/>
        <v>0</v>
      </c>
    </row>
    <row r="10" spans="1:20" x14ac:dyDescent="0.2">
      <c r="A10" s="98">
        <v>1986</v>
      </c>
      <c r="B10" s="90" t="str">
        <f t="shared" si="3"/>
        <v>LST</v>
      </c>
      <c r="C10" s="99" t="s">
        <v>20</v>
      </c>
      <c r="D10" s="100" t="s">
        <v>21</v>
      </c>
      <c r="E10" s="56">
        <v>6</v>
      </c>
      <c r="F10" s="93">
        <v>75</v>
      </c>
      <c r="G10" s="93"/>
      <c r="H10" s="94"/>
      <c r="I10" s="16"/>
      <c r="J10" s="63"/>
      <c r="K10" s="63"/>
      <c r="L10" s="95">
        <f t="shared" si="4"/>
        <v>6</v>
      </c>
      <c r="M10" s="96"/>
      <c r="N10" s="94">
        <f t="shared" si="5"/>
        <v>6</v>
      </c>
      <c r="O10" s="63"/>
      <c r="P10" s="56">
        <v>6</v>
      </c>
      <c r="Q10" s="97">
        <f t="shared" si="6"/>
        <v>0</v>
      </c>
      <c r="R10" s="2">
        <f t="shared" si="0"/>
        <v>0</v>
      </c>
      <c r="S10" s="2">
        <f t="shared" si="1"/>
        <v>0</v>
      </c>
      <c r="T10" s="2">
        <f t="shared" si="2"/>
        <v>0</v>
      </c>
    </row>
    <row r="11" spans="1:20" x14ac:dyDescent="0.2">
      <c r="A11" s="98">
        <v>1986</v>
      </c>
      <c r="B11" s="90" t="str">
        <f t="shared" si="3"/>
        <v>SDC</v>
      </c>
      <c r="C11" s="99" t="s">
        <v>22</v>
      </c>
      <c r="D11" s="100" t="s">
        <v>23</v>
      </c>
      <c r="E11" s="56">
        <v>57</v>
      </c>
      <c r="F11" s="93">
        <v>75</v>
      </c>
      <c r="G11" s="93"/>
      <c r="H11" s="94"/>
      <c r="I11" s="16"/>
      <c r="J11" s="63"/>
      <c r="K11" s="63"/>
      <c r="L11" s="95">
        <f t="shared" si="4"/>
        <v>57</v>
      </c>
      <c r="M11" s="96"/>
      <c r="N11" s="94">
        <f t="shared" si="5"/>
        <v>57</v>
      </c>
      <c r="O11" s="63"/>
      <c r="P11" s="56">
        <v>57</v>
      </c>
      <c r="Q11" s="97">
        <f t="shared" si="6"/>
        <v>0</v>
      </c>
      <c r="R11" s="2">
        <f t="shared" si="0"/>
        <v>0</v>
      </c>
      <c r="S11" s="2">
        <f t="shared" si="1"/>
        <v>0</v>
      </c>
      <c r="T11" s="2">
        <f t="shared" si="2"/>
        <v>0</v>
      </c>
    </row>
    <row r="12" spans="1:20" x14ac:dyDescent="0.2">
      <c r="A12" s="98">
        <v>1988</v>
      </c>
      <c r="B12" s="90" t="str">
        <f t="shared" si="3"/>
        <v>LGR</v>
      </c>
      <c r="C12" s="99" t="s">
        <v>24</v>
      </c>
      <c r="D12" s="100" t="s">
        <v>25</v>
      </c>
      <c r="E12" s="56">
        <v>17</v>
      </c>
      <c r="F12" s="93">
        <v>75</v>
      </c>
      <c r="G12" s="93"/>
      <c r="H12" s="94"/>
      <c r="I12" s="16"/>
      <c r="J12" s="63"/>
      <c r="K12" s="63"/>
      <c r="L12" s="95">
        <f t="shared" si="4"/>
        <v>17</v>
      </c>
      <c r="M12" s="96"/>
      <c r="N12" s="94">
        <f t="shared" si="5"/>
        <v>17</v>
      </c>
      <c r="O12" s="63"/>
      <c r="P12" s="56">
        <v>17</v>
      </c>
      <c r="Q12" s="97">
        <f t="shared" si="6"/>
        <v>0</v>
      </c>
      <c r="R12" s="2">
        <f t="shared" si="0"/>
        <v>0</v>
      </c>
      <c r="S12" s="2">
        <f t="shared" si="1"/>
        <v>0</v>
      </c>
      <c r="T12" s="2">
        <f t="shared" si="2"/>
        <v>0</v>
      </c>
    </row>
    <row r="13" spans="1:20" x14ac:dyDescent="0.2">
      <c r="A13" s="98">
        <v>1988</v>
      </c>
      <c r="B13" s="90" t="str">
        <f t="shared" si="3"/>
        <v>SDC</v>
      </c>
      <c r="C13" s="99" t="s">
        <v>26</v>
      </c>
      <c r="D13" s="100" t="s">
        <v>27</v>
      </c>
      <c r="E13" s="56">
        <v>60</v>
      </c>
      <c r="F13" s="93">
        <v>75</v>
      </c>
      <c r="G13" s="93"/>
      <c r="H13" s="94"/>
      <c r="I13" s="16"/>
      <c r="J13" s="63"/>
      <c r="K13" s="63"/>
      <c r="L13" s="95">
        <f t="shared" si="4"/>
        <v>60</v>
      </c>
      <c r="M13" s="96"/>
      <c r="N13" s="94">
        <f t="shared" si="5"/>
        <v>60</v>
      </c>
      <c r="O13" s="63"/>
      <c r="P13" s="56">
        <v>60</v>
      </c>
      <c r="Q13" s="97">
        <f t="shared" si="6"/>
        <v>0</v>
      </c>
      <c r="R13" s="2">
        <f t="shared" si="0"/>
        <v>0</v>
      </c>
      <c r="S13" s="2">
        <f t="shared" si="1"/>
        <v>0</v>
      </c>
      <c r="T13" s="2">
        <f t="shared" si="2"/>
        <v>0</v>
      </c>
    </row>
    <row r="14" spans="1:20" x14ac:dyDescent="0.2">
      <c r="A14" s="98">
        <v>1989</v>
      </c>
      <c r="B14" s="90" t="str">
        <f t="shared" si="3"/>
        <v>LGR</v>
      </c>
      <c r="C14" s="99" t="s">
        <v>28</v>
      </c>
      <c r="D14" s="100" t="s">
        <v>29</v>
      </c>
      <c r="E14" s="56">
        <v>2</v>
      </c>
      <c r="F14" s="93">
        <v>75</v>
      </c>
      <c r="G14" s="93"/>
      <c r="H14" s="94"/>
      <c r="I14" s="16"/>
      <c r="J14" s="63"/>
      <c r="K14" s="63"/>
      <c r="L14" s="95">
        <f t="shared" si="4"/>
        <v>2</v>
      </c>
      <c r="M14" s="96"/>
      <c r="N14" s="94">
        <f t="shared" si="5"/>
        <v>2</v>
      </c>
      <c r="O14" s="63"/>
      <c r="P14" s="56">
        <v>2</v>
      </c>
      <c r="Q14" s="97">
        <f t="shared" si="6"/>
        <v>0</v>
      </c>
      <c r="R14" s="2">
        <f t="shared" si="0"/>
        <v>0</v>
      </c>
      <c r="S14" s="2">
        <f t="shared" si="1"/>
        <v>0</v>
      </c>
      <c r="T14" s="2">
        <f t="shared" si="2"/>
        <v>0</v>
      </c>
    </row>
    <row r="15" spans="1:20" x14ac:dyDescent="0.2">
      <c r="A15" s="98">
        <v>1990</v>
      </c>
      <c r="B15" s="90" t="str">
        <f t="shared" si="3"/>
        <v>LST</v>
      </c>
      <c r="C15" s="99" t="s">
        <v>30</v>
      </c>
      <c r="D15" s="100" t="s">
        <v>31</v>
      </c>
      <c r="E15" s="56">
        <v>7</v>
      </c>
      <c r="F15" s="93">
        <v>75</v>
      </c>
      <c r="G15" s="93"/>
      <c r="H15" s="94"/>
      <c r="I15" s="16"/>
      <c r="J15" s="63"/>
      <c r="K15" s="63"/>
      <c r="L15" s="95">
        <f t="shared" si="4"/>
        <v>7</v>
      </c>
      <c r="M15" s="96"/>
      <c r="N15" s="94">
        <f t="shared" si="5"/>
        <v>7</v>
      </c>
      <c r="O15" s="63"/>
      <c r="P15" s="56">
        <v>7</v>
      </c>
      <c r="Q15" s="97">
        <f t="shared" si="6"/>
        <v>0</v>
      </c>
      <c r="R15" s="2">
        <f t="shared" si="0"/>
        <v>0</v>
      </c>
      <c r="S15" s="2">
        <f t="shared" si="1"/>
        <v>0</v>
      </c>
      <c r="T15" s="2">
        <f t="shared" si="2"/>
        <v>0</v>
      </c>
    </row>
    <row r="16" spans="1:20" x14ac:dyDescent="0.2">
      <c r="A16" s="98">
        <v>1991</v>
      </c>
      <c r="B16" s="90" t="str">
        <f t="shared" si="3"/>
        <v>LGR</v>
      </c>
      <c r="C16" s="99" t="s">
        <v>32</v>
      </c>
      <c r="D16" s="100" t="s">
        <v>33</v>
      </c>
      <c r="E16" s="56">
        <v>78</v>
      </c>
      <c r="F16" s="93">
        <v>75</v>
      </c>
      <c r="G16" s="93"/>
      <c r="H16" s="94"/>
      <c r="I16" s="16"/>
      <c r="J16" s="63"/>
      <c r="K16" s="63"/>
      <c r="L16" s="95">
        <f t="shared" si="4"/>
        <v>78</v>
      </c>
      <c r="M16" s="96"/>
      <c r="N16" s="94">
        <f t="shared" si="5"/>
        <v>78</v>
      </c>
      <c r="O16" s="63"/>
      <c r="P16" s="56">
        <v>78</v>
      </c>
      <c r="Q16" s="97">
        <f t="shared" si="6"/>
        <v>0</v>
      </c>
      <c r="R16" s="2">
        <f t="shared" si="0"/>
        <v>0</v>
      </c>
      <c r="S16" s="2">
        <f t="shared" si="1"/>
        <v>0</v>
      </c>
      <c r="T16" s="2">
        <f t="shared" si="2"/>
        <v>0</v>
      </c>
    </row>
    <row r="17" spans="1:20" x14ac:dyDescent="0.2">
      <c r="A17" s="98">
        <v>1993</v>
      </c>
      <c r="B17" s="90" t="str">
        <f t="shared" si="3"/>
        <v>LGR</v>
      </c>
      <c r="C17" s="99" t="s">
        <v>34</v>
      </c>
      <c r="D17" s="100" t="s">
        <v>35</v>
      </c>
      <c r="E17" s="56">
        <v>91</v>
      </c>
      <c r="F17" s="93">
        <v>75</v>
      </c>
      <c r="G17" s="93"/>
      <c r="H17" s="94"/>
      <c r="I17" s="16"/>
      <c r="J17" s="63"/>
      <c r="K17" s="63"/>
      <c r="L17" s="95">
        <f t="shared" si="4"/>
        <v>91</v>
      </c>
      <c r="M17" s="96"/>
      <c r="N17" s="94">
        <f t="shared" si="5"/>
        <v>91</v>
      </c>
      <c r="O17" s="63"/>
      <c r="P17" s="56">
        <v>91</v>
      </c>
      <c r="Q17" s="97">
        <f t="shared" si="6"/>
        <v>0</v>
      </c>
      <c r="R17" s="2">
        <f t="shared" si="0"/>
        <v>0</v>
      </c>
      <c r="S17" s="2">
        <f t="shared" si="1"/>
        <v>0</v>
      </c>
      <c r="T17" s="2">
        <f t="shared" si="2"/>
        <v>0</v>
      </c>
    </row>
    <row r="18" spans="1:20" x14ac:dyDescent="0.2">
      <c r="A18" s="98">
        <v>1993</v>
      </c>
      <c r="B18" s="90" t="str">
        <f t="shared" si="3"/>
        <v>LST</v>
      </c>
      <c r="C18" s="99" t="s">
        <v>36</v>
      </c>
      <c r="D18" s="100" t="s">
        <v>37</v>
      </c>
      <c r="E18" s="56">
        <v>11</v>
      </c>
      <c r="F18" s="93">
        <v>75</v>
      </c>
      <c r="G18" s="93"/>
      <c r="H18" s="94"/>
      <c r="I18" s="16"/>
      <c r="J18" s="63"/>
      <c r="K18" s="63"/>
      <c r="L18" s="95">
        <f t="shared" si="4"/>
        <v>11</v>
      </c>
      <c r="M18" s="96"/>
      <c r="N18" s="94">
        <f t="shared" si="5"/>
        <v>11</v>
      </c>
      <c r="O18" s="63"/>
      <c r="P18" s="56">
        <v>11</v>
      </c>
      <c r="Q18" s="97">
        <f t="shared" si="6"/>
        <v>0</v>
      </c>
      <c r="R18" s="2">
        <f t="shared" si="0"/>
        <v>0</v>
      </c>
      <c r="S18" s="2">
        <f t="shared" si="1"/>
        <v>0</v>
      </c>
      <c r="T18" s="2">
        <f t="shared" si="2"/>
        <v>0</v>
      </c>
    </row>
    <row r="19" spans="1:20" x14ac:dyDescent="0.2">
      <c r="A19" s="98">
        <v>1994</v>
      </c>
      <c r="B19" s="90" t="str">
        <f t="shared" si="3"/>
        <v>LGR</v>
      </c>
      <c r="C19" s="99" t="s">
        <v>38</v>
      </c>
      <c r="D19" s="100" t="s">
        <v>39</v>
      </c>
      <c r="E19" s="56">
        <v>21</v>
      </c>
      <c r="F19" s="93">
        <v>75</v>
      </c>
      <c r="G19" s="93"/>
      <c r="H19" s="94"/>
      <c r="I19" s="16"/>
      <c r="J19" s="63"/>
      <c r="K19" s="63"/>
      <c r="L19" s="95">
        <f>SUM(E19:K19)-F19</f>
        <v>21</v>
      </c>
      <c r="M19" s="96"/>
      <c r="N19" s="94">
        <f t="shared" si="5"/>
        <v>21</v>
      </c>
      <c r="O19" s="63"/>
      <c r="P19" s="56">
        <v>21</v>
      </c>
      <c r="Q19" s="97">
        <f t="shared" si="6"/>
        <v>0</v>
      </c>
      <c r="R19" s="2">
        <f t="shared" si="0"/>
        <v>0</v>
      </c>
      <c r="S19" s="2">
        <f t="shared" si="1"/>
        <v>0</v>
      </c>
      <c r="T19" s="2">
        <f t="shared" si="2"/>
        <v>0</v>
      </c>
    </row>
    <row r="20" spans="1:20" x14ac:dyDescent="0.2">
      <c r="A20" s="98">
        <v>1994</v>
      </c>
      <c r="B20" s="90" t="str">
        <f t="shared" si="3"/>
        <v>LST</v>
      </c>
      <c r="C20" s="99" t="s">
        <v>40</v>
      </c>
      <c r="D20" s="100" t="s">
        <v>41</v>
      </c>
      <c r="E20" s="56">
        <v>85</v>
      </c>
      <c r="F20" s="93">
        <v>75</v>
      </c>
      <c r="G20" s="93"/>
      <c r="H20" s="94"/>
      <c r="I20" s="16"/>
      <c r="J20" s="63"/>
      <c r="K20" s="63"/>
      <c r="L20" s="95">
        <f t="shared" si="4"/>
        <v>85</v>
      </c>
      <c r="M20" s="96"/>
      <c r="N20" s="94">
        <f t="shared" si="5"/>
        <v>85</v>
      </c>
      <c r="O20" s="63"/>
      <c r="P20" s="56">
        <v>85</v>
      </c>
      <c r="Q20" s="97">
        <f t="shared" si="6"/>
        <v>0</v>
      </c>
      <c r="R20" s="2">
        <f t="shared" si="0"/>
        <v>0</v>
      </c>
      <c r="S20" s="2">
        <f t="shared" si="1"/>
        <v>0</v>
      </c>
      <c r="T20" s="2">
        <f t="shared" si="2"/>
        <v>0</v>
      </c>
    </row>
    <row r="21" spans="1:20" x14ac:dyDescent="0.2">
      <c r="A21" s="98">
        <v>1994</v>
      </c>
      <c r="B21" s="90" t="str">
        <f t="shared" si="3"/>
        <v>SDC</v>
      </c>
      <c r="C21" s="99" t="s">
        <v>42</v>
      </c>
      <c r="D21" s="100" t="s">
        <v>43</v>
      </c>
      <c r="E21" s="56">
        <v>20</v>
      </c>
      <c r="F21" s="93">
        <v>75</v>
      </c>
      <c r="G21" s="93"/>
      <c r="H21" s="94"/>
      <c r="I21" s="16"/>
      <c r="J21" s="63"/>
      <c r="K21" s="63"/>
      <c r="L21" s="95">
        <f t="shared" si="4"/>
        <v>20</v>
      </c>
      <c r="M21" s="96"/>
      <c r="N21" s="94">
        <f t="shared" si="5"/>
        <v>20</v>
      </c>
      <c r="O21" s="63"/>
      <c r="P21" s="56">
        <v>20</v>
      </c>
      <c r="Q21" s="97">
        <f t="shared" si="6"/>
        <v>0</v>
      </c>
      <c r="R21" s="2">
        <f t="shared" si="0"/>
        <v>0</v>
      </c>
      <c r="S21" s="2">
        <f t="shared" si="1"/>
        <v>0</v>
      </c>
      <c r="T21" s="2">
        <f t="shared" si="2"/>
        <v>0</v>
      </c>
    </row>
    <row r="22" spans="1:20" x14ac:dyDescent="0.2">
      <c r="A22" s="98">
        <v>1995</v>
      </c>
      <c r="B22" s="90" t="str">
        <f t="shared" si="3"/>
        <v>LST</v>
      </c>
      <c r="C22" s="99" t="s">
        <v>44</v>
      </c>
      <c r="D22" s="100" t="s">
        <v>45</v>
      </c>
      <c r="E22" s="56">
        <v>42</v>
      </c>
      <c r="F22" s="93">
        <v>75</v>
      </c>
      <c r="G22" s="93"/>
      <c r="H22" s="94"/>
      <c r="I22" s="16"/>
      <c r="J22" s="63"/>
      <c r="K22" s="63"/>
      <c r="L22" s="95">
        <f t="shared" si="4"/>
        <v>42</v>
      </c>
      <c r="M22" s="96"/>
      <c r="N22" s="94">
        <f t="shared" si="5"/>
        <v>42</v>
      </c>
      <c r="O22" s="63"/>
      <c r="P22" s="56">
        <v>42</v>
      </c>
      <c r="Q22" s="97">
        <f t="shared" si="6"/>
        <v>0</v>
      </c>
      <c r="R22" s="2">
        <f t="shared" si="0"/>
        <v>0</v>
      </c>
      <c r="S22" s="2">
        <f t="shared" si="1"/>
        <v>0</v>
      </c>
      <c r="T22" s="2">
        <f t="shared" si="2"/>
        <v>0</v>
      </c>
    </row>
    <row r="23" spans="1:20" x14ac:dyDescent="0.2">
      <c r="A23" s="98">
        <v>1995</v>
      </c>
      <c r="B23" s="90" t="str">
        <f t="shared" si="3"/>
        <v>SDC</v>
      </c>
      <c r="C23" s="99" t="s">
        <v>46</v>
      </c>
      <c r="D23" s="100" t="s">
        <v>47</v>
      </c>
      <c r="E23" s="56">
        <v>12</v>
      </c>
      <c r="F23" s="93">
        <v>75</v>
      </c>
      <c r="G23" s="93"/>
      <c r="H23" s="94"/>
      <c r="I23" s="16"/>
      <c r="J23" s="63"/>
      <c r="K23" s="63"/>
      <c r="L23" s="95">
        <f t="shared" si="4"/>
        <v>12</v>
      </c>
      <c r="M23" s="96"/>
      <c r="N23" s="94">
        <f t="shared" si="5"/>
        <v>12</v>
      </c>
      <c r="O23" s="63"/>
      <c r="P23" s="56">
        <v>12</v>
      </c>
      <c r="Q23" s="97">
        <f t="shared" si="6"/>
        <v>0</v>
      </c>
      <c r="R23" s="2">
        <f t="shared" si="0"/>
        <v>0</v>
      </c>
      <c r="S23" s="2">
        <f t="shared" si="1"/>
        <v>0</v>
      </c>
      <c r="T23" s="2">
        <f t="shared" si="2"/>
        <v>0</v>
      </c>
    </row>
    <row r="24" spans="1:20" x14ac:dyDescent="0.2">
      <c r="A24" s="98">
        <v>1996</v>
      </c>
      <c r="B24" s="90" t="str">
        <f t="shared" si="3"/>
        <v>LGR</v>
      </c>
      <c r="C24" s="99" t="s">
        <v>48</v>
      </c>
      <c r="D24" s="100" t="s">
        <v>49</v>
      </c>
      <c r="E24" s="56">
        <v>27</v>
      </c>
      <c r="F24" s="93">
        <v>75</v>
      </c>
      <c r="G24" s="93"/>
      <c r="H24" s="94"/>
      <c r="I24" s="16"/>
      <c r="J24" s="63"/>
      <c r="K24" s="63"/>
      <c r="L24" s="95">
        <f t="shared" si="4"/>
        <v>27</v>
      </c>
      <c r="M24" s="96"/>
      <c r="N24" s="94">
        <f t="shared" si="5"/>
        <v>27</v>
      </c>
      <c r="O24" s="63"/>
      <c r="P24" s="56">
        <v>27</v>
      </c>
      <c r="Q24" s="97">
        <f t="shared" si="6"/>
        <v>0</v>
      </c>
      <c r="R24" s="2">
        <f t="shared" si="0"/>
        <v>0</v>
      </c>
      <c r="S24" s="2">
        <f t="shared" si="1"/>
        <v>0</v>
      </c>
      <c r="T24" s="2">
        <f t="shared" si="2"/>
        <v>0</v>
      </c>
    </row>
    <row r="25" spans="1:20" x14ac:dyDescent="0.2">
      <c r="A25" s="98">
        <v>1998</v>
      </c>
      <c r="B25" s="90" t="str">
        <f t="shared" si="3"/>
        <v>LGR</v>
      </c>
      <c r="C25" s="99" t="s">
        <v>50</v>
      </c>
      <c r="D25" s="100" t="s">
        <v>90</v>
      </c>
      <c r="E25" s="56">
        <v>54</v>
      </c>
      <c r="F25" s="93">
        <v>75</v>
      </c>
      <c r="G25" s="93"/>
      <c r="H25" s="94"/>
      <c r="I25" s="16"/>
      <c r="J25" s="63"/>
      <c r="K25" s="63"/>
      <c r="L25" s="95">
        <f t="shared" si="4"/>
        <v>54</v>
      </c>
      <c r="M25" s="96"/>
      <c r="N25" s="94">
        <f t="shared" si="5"/>
        <v>54</v>
      </c>
      <c r="O25" s="63"/>
      <c r="P25" s="56">
        <v>54</v>
      </c>
      <c r="Q25" s="97">
        <f t="shared" si="6"/>
        <v>0</v>
      </c>
      <c r="R25" s="2">
        <f t="shared" si="0"/>
        <v>0</v>
      </c>
      <c r="S25" s="2">
        <f t="shared" si="1"/>
        <v>0</v>
      </c>
      <c r="T25" s="2">
        <f t="shared" si="2"/>
        <v>0</v>
      </c>
    </row>
    <row r="26" spans="1:20" x14ac:dyDescent="0.2">
      <c r="A26" s="98">
        <v>1998</v>
      </c>
      <c r="B26" s="90" t="str">
        <f t="shared" si="3"/>
        <v>LST</v>
      </c>
      <c r="C26" s="99" t="s">
        <v>51</v>
      </c>
      <c r="D26" s="100" t="s">
        <v>52</v>
      </c>
      <c r="E26" s="56">
        <v>157</v>
      </c>
      <c r="F26" s="93">
        <v>75</v>
      </c>
      <c r="G26" s="93"/>
      <c r="H26" s="94"/>
      <c r="I26" s="16"/>
      <c r="J26" s="63"/>
      <c r="K26" s="63"/>
      <c r="L26" s="95">
        <f t="shared" si="4"/>
        <v>157</v>
      </c>
      <c r="M26" s="96"/>
      <c r="N26" s="94">
        <f t="shared" si="5"/>
        <v>157</v>
      </c>
      <c r="O26" s="63"/>
      <c r="P26" s="56">
        <v>157</v>
      </c>
      <c r="Q26" s="97">
        <f t="shared" si="6"/>
        <v>0</v>
      </c>
      <c r="R26" s="2">
        <f t="shared" si="0"/>
        <v>0</v>
      </c>
      <c r="S26" s="2">
        <f t="shared" si="1"/>
        <v>0</v>
      </c>
      <c r="T26" s="2">
        <f t="shared" si="2"/>
        <v>0</v>
      </c>
    </row>
    <row r="27" spans="1:20" x14ac:dyDescent="0.2">
      <c r="A27" s="98">
        <v>1998</v>
      </c>
      <c r="B27" s="90" t="str">
        <f t="shared" si="3"/>
        <v>SDC</v>
      </c>
      <c r="C27" s="99" t="s">
        <v>53</v>
      </c>
      <c r="D27" s="100" t="s">
        <v>54</v>
      </c>
      <c r="E27" s="56">
        <v>12</v>
      </c>
      <c r="F27" s="93">
        <v>75</v>
      </c>
      <c r="G27" s="93"/>
      <c r="H27" s="94"/>
      <c r="I27" s="16"/>
      <c r="J27" s="63"/>
      <c r="K27" s="63"/>
      <c r="L27" s="95">
        <f t="shared" si="4"/>
        <v>12</v>
      </c>
      <c r="M27" s="96"/>
      <c r="N27" s="94">
        <f t="shared" si="5"/>
        <v>12</v>
      </c>
      <c r="O27" s="63"/>
      <c r="P27" s="56">
        <v>12</v>
      </c>
      <c r="Q27" s="97">
        <f t="shared" si="6"/>
        <v>0</v>
      </c>
      <c r="R27" s="2">
        <f t="shared" si="0"/>
        <v>0</v>
      </c>
      <c r="S27" s="2">
        <f t="shared" si="1"/>
        <v>0</v>
      </c>
      <c r="T27" s="2">
        <f t="shared" si="2"/>
        <v>0</v>
      </c>
    </row>
    <row r="28" spans="1:20" x14ac:dyDescent="0.2">
      <c r="A28" s="98">
        <v>1999</v>
      </c>
      <c r="B28" s="90" t="str">
        <f t="shared" si="3"/>
        <v>LST</v>
      </c>
      <c r="C28" s="99" t="s">
        <v>55</v>
      </c>
      <c r="D28" s="100" t="s">
        <v>56</v>
      </c>
      <c r="E28" s="56">
        <v>3</v>
      </c>
      <c r="F28" s="93">
        <v>75</v>
      </c>
      <c r="G28" s="93"/>
      <c r="H28" s="94"/>
      <c r="I28" s="16"/>
      <c r="J28" s="63"/>
      <c r="K28" s="63"/>
      <c r="L28" s="95">
        <f t="shared" si="4"/>
        <v>3</v>
      </c>
      <c r="M28" s="96"/>
      <c r="N28" s="94">
        <f t="shared" si="5"/>
        <v>3</v>
      </c>
      <c r="O28" s="63"/>
      <c r="P28" s="56">
        <v>3</v>
      </c>
      <c r="Q28" s="97">
        <f t="shared" si="6"/>
        <v>0</v>
      </c>
      <c r="R28" s="2">
        <f t="shared" si="0"/>
        <v>0</v>
      </c>
      <c r="S28" s="2">
        <f t="shared" si="1"/>
        <v>0</v>
      </c>
      <c r="T28" s="2">
        <f t="shared" si="2"/>
        <v>0</v>
      </c>
    </row>
    <row r="29" spans="1:20" x14ac:dyDescent="0.2">
      <c r="A29" s="98">
        <v>2000</v>
      </c>
      <c r="B29" s="90" t="str">
        <f t="shared" si="3"/>
        <v>SDC</v>
      </c>
      <c r="C29" s="99" t="s">
        <v>57</v>
      </c>
      <c r="D29" s="100" t="s">
        <v>58</v>
      </c>
      <c r="E29" s="56">
        <v>23</v>
      </c>
      <c r="F29" s="93">
        <v>75</v>
      </c>
      <c r="G29" s="93"/>
      <c r="H29" s="94"/>
      <c r="I29" s="16"/>
      <c r="J29" s="63"/>
      <c r="K29" s="63"/>
      <c r="L29" s="95">
        <f t="shared" si="4"/>
        <v>23</v>
      </c>
      <c r="M29" s="96"/>
      <c r="N29" s="94">
        <f t="shared" si="5"/>
        <v>23</v>
      </c>
      <c r="O29" s="63"/>
      <c r="P29" s="56">
        <v>23</v>
      </c>
      <c r="Q29" s="97">
        <f t="shared" si="6"/>
        <v>0</v>
      </c>
      <c r="R29" s="2">
        <f t="shared" si="0"/>
        <v>0</v>
      </c>
      <c r="S29" s="2">
        <f t="shared" si="1"/>
        <v>0</v>
      </c>
      <c r="T29" s="2">
        <f t="shared" si="2"/>
        <v>0</v>
      </c>
    </row>
    <row r="30" spans="1:20" x14ac:dyDescent="0.2">
      <c r="A30" s="98">
        <v>2001</v>
      </c>
      <c r="B30" s="90" t="str">
        <f t="shared" si="3"/>
        <v>LST</v>
      </c>
      <c r="C30" s="99" t="s">
        <v>59</v>
      </c>
      <c r="D30" s="100" t="s">
        <v>60</v>
      </c>
      <c r="E30" s="56">
        <v>95</v>
      </c>
      <c r="F30" s="93">
        <v>75</v>
      </c>
      <c r="G30" s="93"/>
      <c r="H30" s="94"/>
      <c r="I30" s="16"/>
      <c r="J30" s="63"/>
      <c r="K30" s="63"/>
      <c r="L30" s="95">
        <f t="shared" si="4"/>
        <v>95</v>
      </c>
      <c r="M30" s="96"/>
      <c r="N30" s="94">
        <f t="shared" si="5"/>
        <v>95</v>
      </c>
      <c r="O30" s="63"/>
      <c r="P30" s="56">
        <v>95</v>
      </c>
      <c r="Q30" s="97">
        <f t="shared" si="6"/>
        <v>0</v>
      </c>
      <c r="R30" s="2">
        <f t="shared" si="0"/>
        <v>0</v>
      </c>
      <c r="S30" s="2">
        <f t="shared" si="1"/>
        <v>0</v>
      </c>
      <c r="T30" s="2">
        <f t="shared" si="2"/>
        <v>0</v>
      </c>
    </row>
    <row r="31" spans="1:20" x14ac:dyDescent="0.2">
      <c r="A31" s="98">
        <v>2001</v>
      </c>
      <c r="B31" s="90" t="str">
        <f t="shared" si="3"/>
        <v>SDC</v>
      </c>
      <c r="C31" s="99" t="s">
        <v>61</v>
      </c>
      <c r="D31" s="100" t="s">
        <v>62</v>
      </c>
      <c r="E31" s="56">
        <v>24</v>
      </c>
      <c r="F31" s="93">
        <v>75</v>
      </c>
      <c r="G31" s="93"/>
      <c r="H31" s="94"/>
      <c r="I31" s="16"/>
      <c r="J31" s="63"/>
      <c r="K31" s="63"/>
      <c r="L31" s="95">
        <f t="shared" si="4"/>
        <v>24</v>
      </c>
      <c r="M31" s="96"/>
      <c r="N31" s="94">
        <f t="shared" si="5"/>
        <v>24</v>
      </c>
      <c r="O31" s="63"/>
      <c r="P31" s="56">
        <v>24</v>
      </c>
      <c r="Q31" s="97">
        <f t="shared" si="6"/>
        <v>0</v>
      </c>
      <c r="R31" s="2">
        <f t="shared" si="0"/>
        <v>0</v>
      </c>
      <c r="S31" s="2">
        <f t="shared" si="1"/>
        <v>0</v>
      </c>
      <c r="T31" s="2">
        <f t="shared" si="2"/>
        <v>0</v>
      </c>
    </row>
    <row r="32" spans="1:20" x14ac:dyDescent="0.2">
      <c r="A32" s="101"/>
      <c r="B32" s="101"/>
      <c r="C32" s="102"/>
      <c r="D32" s="103"/>
      <c r="E32" s="82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82"/>
      <c r="Q32" s="104"/>
      <c r="R32" s="2">
        <f t="shared" si="0"/>
        <v>0</v>
      </c>
      <c r="S32" s="2">
        <f t="shared" si="1"/>
        <v>0</v>
      </c>
      <c r="T32" s="2">
        <f t="shared" si="2"/>
        <v>0</v>
      </c>
    </row>
    <row r="33" spans="1:20" x14ac:dyDescent="0.2">
      <c r="A33" s="98">
        <v>2003</v>
      </c>
      <c r="B33" s="90" t="str">
        <f>LEFT(C33,3)</f>
        <v>LST</v>
      </c>
      <c r="C33" s="99" t="s">
        <v>63</v>
      </c>
      <c r="D33" s="100" t="s">
        <v>64</v>
      </c>
      <c r="E33" s="56">
        <v>162</v>
      </c>
      <c r="F33" s="93">
        <v>75</v>
      </c>
      <c r="G33" s="93"/>
      <c r="H33" s="94"/>
      <c r="I33" s="16"/>
      <c r="J33" s="63"/>
      <c r="K33" s="63"/>
      <c r="L33" s="95">
        <f t="shared" ref="L33:L68" si="7">SUM(E33:K33)-F33</f>
        <v>162</v>
      </c>
      <c r="M33" s="96"/>
      <c r="N33" s="94">
        <f t="shared" si="5"/>
        <v>162</v>
      </c>
      <c r="O33" s="63"/>
      <c r="P33" s="56">
        <v>162</v>
      </c>
      <c r="Q33" s="97">
        <f>+L33+O33-P33</f>
        <v>0</v>
      </c>
      <c r="R33" s="2">
        <f t="shared" ref="R33:R38" si="8">IF(F33=75,H33,)</f>
        <v>0</v>
      </c>
      <c r="S33" s="2">
        <f t="shared" ref="S33:S38" si="9">IF(F33=150,H33,)</f>
        <v>0</v>
      </c>
      <c r="T33" s="2">
        <f t="shared" ref="T33:T38" si="10">IF(F33=300,H33,)</f>
        <v>0</v>
      </c>
    </row>
    <row r="34" spans="1:20" x14ac:dyDescent="0.2">
      <c r="A34" s="98">
        <v>2003</v>
      </c>
      <c r="B34" s="90" t="str">
        <f>LEFT(C34,3)</f>
        <v>SDC</v>
      </c>
      <c r="C34" s="99" t="s">
        <v>65</v>
      </c>
      <c r="D34" s="100" t="s">
        <v>66</v>
      </c>
      <c r="E34" s="56">
        <v>53</v>
      </c>
      <c r="F34" s="93">
        <v>75</v>
      </c>
      <c r="G34" s="93"/>
      <c r="H34" s="94"/>
      <c r="I34" s="16"/>
      <c r="J34" s="63"/>
      <c r="K34" s="63"/>
      <c r="L34" s="95">
        <f t="shared" si="7"/>
        <v>53</v>
      </c>
      <c r="M34" s="96"/>
      <c r="N34" s="94">
        <f t="shared" si="5"/>
        <v>53</v>
      </c>
      <c r="O34" s="63"/>
      <c r="P34" s="56">
        <v>53</v>
      </c>
      <c r="Q34" s="97">
        <f>+L34+O34-P34</f>
        <v>0</v>
      </c>
      <c r="R34" s="2">
        <f t="shared" si="8"/>
        <v>0</v>
      </c>
      <c r="S34" s="2">
        <f t="shared" si="9"/>
        <v>0</v>
      </c>
      <c r="T34" s="2">
        <f t="shared" si="10"/>
        <v>0</v>
      </c>
    </row>
    <row r="35" spans="1:20" x14ac:dyDescent="0.2">
      <c r="A35" s="101"/>
      <c r="B35" s="101"/>
      <c r="C35" s="102"/>
      <c r="D35" s="103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2">
        <f t="shared" si="8"/>
        <v>0</v>
      </c>
      <c r="S35" s="2">
        <f t="shared" si="9"/>
        <v>0</v>
      </c>
      <c r="T35" s="2">
        <f t="shared" si="10"/>
        <v>0</v>
      </c>
    </row>
    <row r="36" spans="1:20" ht="13.5" customHeight="1" x14ac:dyDescent="0.2">
      <c r="A36" s="98">
        <v>2004</v>
      </c>
      <c r="B36" s="90" t="str">
        <f t="shared" ref="B36:B38" si="11">LEFT(C36,3)</f>
        <v>LST</v>
      </c>
      <c r="C36" s="99" t="s">
        <v>67</v>
      </c>
      <c r="D36" s="100" t="s">
        <v>68</v>
      </c>
      <c r="E36" s="56">
        <v>228</v>
      </c>
      <c r="F36" s="93">
        <v>75</v>
      </c>
      <c r="G36" s="93"/>
      <c r="H36" s="94"/>
      <c r="I36" s="16"/>
      <c r="J36" s="64"/>
      <c r="K36" s="63"/>
      <c r="L36" s="95">
        <f t="shared" si="7"/>
        <v>228</v>
      </c>
      <c r="M36" s="96"/>
      <c r="N36" s="94">
        <f t="shared" si="5"/>
        <v>228</v>
      </c>
      <c r="O36" s="63"/>
      <c r="P36" s="56">
        <v>228</v>
      </c>
      <c r="Q36" s="97">
        <f t="shared" ref="Q36:Q38" si="12">+L36+O36-P36</f>
        <v>0</v>
      </c>
      <c r="R36" s="2">
        <f t="shared" si="8"/>
        <v>0</v>
      </c>
      <c r="S36" s="2">
        <f t="shared" si="9"/>
        <v>0</v>
      </c>
      <c r="T36" s="2">
        <f t="shared" si="10"/>
        <v>0</v>
      </c>
    </row>
    <row r="37" spans="1:20" ht="13.5" customHeight="1" x14ac:dyDescent="0.2">
      <c r="A37" s="98">
        <v>2004</v>
      </c>
      <c r="B37" s="90" t="str">
        <f t="shared" si="11"/>
        <v>LST</v>
      </c>
      <c r="C37" s="99" t="s">
        <v>69</v>
      </c>
      <c r="D37" s="100" t="s">
        <v>70</v>
      </c>
      <c r="E37" s="56">
        <v>31</v>
      </c>
      <c r="F37" s="93">
        <v>150</v>
      </c>
      <c r="G37" s="93"/>
      <c r="H37" s="94"/>
      <c r="I37" s="16"/>
      <c r="J37" s="64"/>
      <c r="K37" s="63"/>
      <c r="L37" s="95">
        <f t="shared" si="7"/>
        <v>31</v>
      </c>
      <c r="M37" s="96"/>
      <c r="N37" s="94">
        <f t="shared" si="5"/>
        <v>31</v>
      </c>
      <c r="O37" s="63"/>
      <c r="P37" s="56">
        <v>31</v>
      </c>
      <c r="Q37" s="97">
        <f t="shared" si="12"/>
        <v>0</v>
      </c>
      <c r="R37" s="2">
        <f t="shared" si="8"/>
        <v>0</v>
      </c>
      <c r="S37" s="2">
        <f t="shared" si="9"/>
        <v>0</v>
      </c>
      <c r="T37" s="2">
        <f t="shared" si="10"/>
        <v>0</v>
      </c>
    </row>
    <row r="38" spans="1:20" ht="13.5" customHeight="1" x14ac:dyDescent="0.2">
      <c r="A38" s="98">
        <v>2004</v>
      </c>
      <c r="B38" s="90" t="str">
        <f t="shared" si="11"/>
        <v>SDC</v>
      </c>
      <c r="C38" s="99" t="s">
        <v>71</v>
      </c>
      <c r="D38" s="100" t="s">
        <v>72</v>
      </c>
      <c r="E38" s="56">
        <v>289</v>
      </c>
      <c r="F38" s="93">
        <v>75</v>
      </c>
      <c r="G38" s="93"/>
      <c r="H38" s="94"/>
      <c r="I38" s="16"/>
      <c r="J38" s="64"/>
      <c r="K38" s="63"/>
      <c r="L38" s="95">
        <f t="shared" si="7"/>
        <v>289</v>
      </c>
      <c r="M38" s="96"/>
      <c r="N38" s="94">
        <f t="shared" si="5"/>
        <v>289</v>
      </c>
      <c r="O38" s="63"/>
      <c r="P38" s="56">
        <v>289</v>
      </c>
      <c r="Q38" s="97">
        <f t="shared" si="12"/>
        <v>0</v>
      </c>
      <c r="R38" s="2">
        <f t="shared" si="8"/>
        <v>0</v>
      </c>
      <c r="S38" s="2">
        <f t="shared" si="9"/>
        <v>0</v>
      </c>
      <c r="T38" s="2">
        <f t="shared" si="10"/>
        <v>0</v>
      </c>
    </row>
    <row r="39" spans="1:20" x14ac:dyDescent="0.2">
      <c r="A39" s="101"/>
      <c r="B39" s="101"/>
      <c r="C39" s="102"/>
      <c r="D39" s="103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2">
        <f t="shared" ref="R39:R104" si="13">IF(F39=75,H39,)</f>
        <v>0</v>
      </c>
      <c r="S39" s="2">
        <f t="shared" ref="S39:S104" si="14">IF(F39=150,H39,)</f>
        <v>0</v>
      </c>
      <c r="T39" s="2">
        <f t="shared" ref="T39:T104" si="15">IF(F39=300,H39,)</f>
        <v>0</v>
      </c>
    </row>
    <row r="40" spans="1:20" ht="13.5" customHeight="1" x14ac:dyDescent="0.2">
      <c r="A40" s="105">
        <v>2005</v>
      </c>
      <c r="B40" s="90" t="s">
        <v>322</v>
      </c>
      <c r="C40" s="106" t="s">
        <v>319</v>
      </c>
      <c r="D40" s="107" t="s">
        <v>375</v>
      </c>
      <c r="E40" s="56">
        <v>256</v>
      </c>
      <c r="F40" s="94">
        <v>75</v>
      </c>
      <c r="G40" s="94"/>
      <c r="H40" s="94"/>
      <c r="I40" s="16"/>
      <c r="J40" s="64"/>
      <c r="K40" s="63"/>
      <c r="L40" s="95">
        <f t="shared" si="7"/>
        <v>256</v>
      </c>
      <c r="M40" s="96"/>
      <c r="N40" s="94">
        <f t="shared" si="5"/>
        <v>256</v>
      </c>
      <c r="O40" s="63"/>
      <c r="P40" s="56">
        <v>256</v>
      </c>
      <c r="Q40" s="97">
        <f t="shared" ref="Q40:Q42" si="16">+L40+O40-P40</f>
        <v>0</v>
      </c>
      <c r="R40" s="2">
        <f t="shared" si="13"/>
        <v>0</v>
      </c>
      <c r="S40" s="2">
        <f t="shared" si="14"/>
        <v>0</v>
      </c>
      <c r="T40" s="2">
        <f t="shared" si="15"/>
        <v>0</v>
      </c>
    </row>
    <row r="41" spans="1:20" ht="13.5" customHeight="1" x14ac:dyDescent="0.2">
      <c r="A41" s="105">
        <v>2005</v>
      </c>
      <c r="B41" s="90" t="s">
        <v>323</v>
      </c>
      <c r="C41" s="106" t="s">
        <v>320</v>
      </c>
      <c r="D41" s="107" t="s">
        <v>73</v>
      </c>
      <c r="E41" s="56">
        <v>17</v>
      </c>
      <c r="F41" s="94">
        <v>150</v>
      </c>
      <c r="G41" s="94"/>
      <c r="H41" s="94"/>
      <c r="I41" s="16"/>
      <c r="J41" s="64"/>
      <c r="K41" s="63"/>
      <c r="L41" s="95">
        <f t="shared" si="7"/>
        <v>17</v>
      </c>
      <c r="M41" s="96"/>
      <c r="N41" s="94">
        <f t="shared" si="5"/>
        <v>17</v>
      </c>
      <c r="O41" s="63"/>
      <c r="P41" s="56">
        <v>17</v>
      </c>
      <c r="Q41" s="97">
        <f t="shared" si="16"/>
        <v>0</v>
      </c>
      <c r="R41" s="2">
        <f t="shared" si="13"/>
        <v>0</v>
      </c>
      <c r="S41" s="2">
        <f t="shared" si="14"/>
        <v>0</v>
      </c>
      <c r="T41" s="2">
        <f t="shared" si="15"/>
        <v>0</v>
      </c>
    </row>
    <row r="42" spans="1:20" ht="13.5" customHeight="1" x14ac:dyDescent="0.2">
      <c r="A42" s="105">
        <v>2005</v>
      </c>
      <c r="B42" s="90" t="s">
        <v>324</v>
      </c>
      <c r="C42" s="106" t="s">
        <v>321</v>
      </c>
      <c r="D42" s="107" t="s">
        <v>74</v>
      </c>
      <c r="E42" s="56">
        <v>295</v>
      </c>
      <c r="F42" s="94">
        <v>75</v>
      </c>
      <c r="G42" s="94"/>
      <c r="H42" s="94"/>
      <c r="I42" s="16"/>
      <c r="J42" s="64"/>
      <c r="K42" s="63"/>
      <c r="L42" s="95">
        <f t="shared" si="7"/>
        <v>295</v>
      </c>
      <c r="M42" s="96"/>
      <c r="N42" s="94">
        <f t="shared" si="5"/>
        <v>295</v>
      </c>
      <c r="O42" s="63"/>
      <c r="P42" s="56">
        <v>295</v>
      </c>
      <c r="Q42" s="97">
        <f t="shared" si="16"/>
        <v>0</v>
      </c>
      <c r="R42" s="2">
        <f t="shared" si="13"/>
        <v>0</v>
      </c>
      <c r="S42" s="2">
        <f t="shared" si="14"/>
        <v>0</v>
      </c>
      <c r="T42" s="2">
        <f t="shared" si="15"/>
        <v>0</v>
      </c>
    </row>
    <row r="43" spans="1:20" x14ac:dyDescent="0.2">
      <c r="A43" s="101"/>
      <c r="B43" s="101"/>
      <c r="C43" s="102"/>
      <c r="D43" s="103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2">
        <f t="shared" si="13"/>
        <v>0</v>
      </c>
      <c r="S43" s="2">
        <f t="shared" si="14"/>
        <v>0</v>
      </c>
      <c r="T43" s="2">
        <f t="shared" si="15"/>
        <v>0</v>
      </c>
    </row>
    <row r="44" spans="1:20" ht="12" customHeight="1" x14ac:dyDescent="0.2">
      <c r="A44" s="105">
        <v>2006</v>
      </c>
      <c r="B44" s="90" t="s">
        <v>325</v>
      </c>
      <c r="C44" s="106" t="s">
        <v>318</v>
      </c>
      <c r="D44" s="107" t="s">
        <v>405</v>
      </c>
      <c r="E44" s="56">
        <v>4</v>
      </c>
      <c r="F44" s="94">
        <v>75</v>
      </c>
      <c r="G44" s="94"/>
      <c r="H44" s="94"/>
      <c r="I44" s="16"/>
      <c r="J44" s="64"/>
      <c r="K44" s="63"/>
      <c r="L44" s="95">
        <f t="shared" si="7"/>
        <v>4</v>
      </c>
      <c r="M44" s="96"/>
      <c r="N44" s="94">
        <f t="shared" si="5"/>
        <v>4</v>
      </c>
      <c r="O44" s="63"/>
      <c r="P44" s="56">
        <v>4</v>
      </c>
      <c r="Q44" s="97">
        <f t="shared" ref="Q44:Q47" si="17">+L44+O44-P44</f>
        <v>0</v>
      </c>
      <c r="R44" s="2">
        <f t="shared" si="13"/>
        <v>0</v>
      </c>
      <c r="S44" s="2">
        <f t="shared" si="14"/>
        <v>0</v>
      </c>
      <c r="T44" s="2">
        <f t="shared" si="15"/>
        <v>0</v>
      </c>
    </row>
    <row r="45" spans="1:20" ht="12" customHeight="1" x14ac:dyDescent="0.2">
      <c r="A45" s="105">
        <v>2006</v>
      </c>
      <c r="B45" s="90" t="s">
        <v>327</v>
      </c>
      <c r="C45" s="106" t="s">
        <v>326</v>
      </c>
      <c r="D45" s="107" t="s">
        <v>378</v>
      </c>
      <c r="E45" s="56">
        <v>293</v>
      </c>
      <c r="F45" s="94">
        <v>75</v>
      </c>
      <c r="G45" s="94"/>
      <c r="H45" s="94"/>
      <c r="I45" s="16"/>
      <c r="J45" s="64"/>
      <c r="K45" s="64"/>
      <c r="L45" s="95">
        <f t="shared" si="7"/>
        <v>293</v>
      </c>
      <c r="M45" s="96"/>
      <c r="N45" s="94">
        <f t="shared" si="5"/>
        <v>293</v>
      </c>
      <c r="O45" s="63"/>
      <c r="P45" s="56">
        <v>293</v>
      </c>
      <c r="Q45" s="97">
        <f t="shared" si="17"/>
        <v>0</v>
      </c>
      <c r="R45" s="2">
        <f t="shared" si="13"/>
        <v>0</v>
      </c>
      <c r="S45" s="2">
        <f t="shared" si="14"/>
        <v>0</v>
      </c>
      <c r="T45" s="2">
        <f t="shared" si="15"/>
        <v>0</v>
      </c>
    </row>
    <row r="46" spans="1:20" ht="12" customHeight="1" x14ac:dyDescent="0.2">
      <c r="A46" s="105">
        <v>2006</v>
      </c>
      <c r="B46" s="90" t="s">
        <v>328</v>
      </c>
      <c r="C46" s="106" t="s">
        <v>194</v>
      </c>
      <c r="D46" s="107" t="s">
        <v>377</v>
      </c>
      <c r="E46" s="56">
        <v>237</v>
      </c>
      <c r="F46" s="94">
        <v>75</v>
      </c>
      <c r="G46" s="94"/>
      <c r="H46" s="94"/>
      <c r="I46" s="16"/>
      <c r="J46" s="64"/>
      <c r="K46" s="63"/>
      <c r="L46" s="95">
        <f t="shared" si="7"/>
        <v>237</v>
      </c>
      <c r="M46" s="96"/>
      <c r="N46" s="94">
        <f t="shared" ref="N46:N47" si="18">+L46-M46</f>
        <v>237</v>
      </c>
      <c r="O46" s="63"/>
      <c r="P46" s="56">
        <v>237</v>
      </c>
      <c r="Q46" s="97">
        <f t="shared" si="17"/>
        <v>0</v>
      </c>
      <c r="R46" s="2">
        <f t="shared" si="13"/>
        <v>0</v>
      </c>
      <c r="S46" s="2">
        <f t="shared" si="14"/>
        <v>0</v>
      </c>
      <c r="T46" s="2">
        <f t="shared" si="15"/>
        <v>0</v>
      </c>
    </row>
    <row r="47" spans="1:20" ht="12" customHeight="1" x14ac:dyDescent="0.2">
      <c r="A47" s="105">
        <v>2006</v>
      </c>
      <c r="B47" s="90" t="s">
        <v>329</v>
      </c>
      <c r="C47" s="106" t="s">
        <v>317</v>
      </c>
      <c r="D47" s="107" t="s">
        <v>376</v>
      </c>
      <c r="E47" s="56">
        <v>4</v>
      </c>
      <c r="F47" s="94">
        <v>150</v>
      </c>
      <c r="G47" s="94"/>
      <c r="H47" s="94"/>
      <c r="I47" s="16"/>
      <c r="J47" s="173"/>
      <c r="K47" s="63"/>
      <c r="L47" s="95">
        <f t="shared" si="7"/>
        <v>4</v>
      </c>
      <c r="M47" s="96"/>
      <c r="N47" s="94">
        <f t="shared" si="18"/>
        <v>4</v>
      </c>
      <c r="O47" s="63"/>
      <c r="P47" s="56">
        <v>4</v>
      </c>
      <c r="Q47" s="97">
        <f t="shared" si="17"/>
        <v>0</v>
      </c>
      <c r="R47" s="2">
        <f t="shared" si="13"/>
        <v>0</v>
      </c>
      <c r="S47" s="2">
        <f t="shared" si="14"/>
        <v>0</v>
      </c>
      <c r="T47" s="2">
        <f t="shared" si="15"/>
        <v>0</v>
      </c>
    </row>
    <row r="48" spans="1:20" x14ac:dyDescent="0.2">
      <c r="A48" s="101"/>
      <c r="B48" s="101"/>
      <c r="C48" s="102"/>
      <c r="D48" s="108"/>
      <c r="E48" s="66"/>
      <c r="F48" s="66"/>
      <c r="G48" s="66"/>
      <c r="H48" s="66"/>
      <c r="I48" s="66"/>
      <c r="J48" s="66"/>
      <c r="K48" s="66"/>
      <c r="L48" s="65"/>
      <c r="M48" s="66"/>
      <c r="N48" s="66"/>
      <c r="O48" s="66"/>
      <c r="P48" s="66"/>
      <c r="Q48" s="66"/>
      <c r="R48" s="2">
        <f t="shared" si="13"/>
        <v>0</v>
      </c>
      <c r="S48" s="2">
        <f t="shared" si="14"/>
        <v>0</v>
      </c>
      <c r="T48" s="2">
        <f t="shared" si="15"/>
        <v>0</v>
      </c>
    </row>
    <row r="49" spans="1:23" ht="12" customHeight="1" x14ac:dyDescent="0.2">
      <c r="A49" s="105">
        <v>2007</v>
      </c>
      <c r="B49" s="90" t="s">
        <v>298</v>
      </c>
      <c r="C49" s="106" t="s">
        <v>196</v>
      </c>
      <c r="D49" s="107" t="s">
        <v>353</v>
      </c>
      <c r="E49" s="57">
        <v>258</v>
      </c>
      <c r="F49" s="109">
        <v>75</v>
      </c>
      <c r="G49" s="109"/>
      <c r="H49" s="109"/>
      <c r="I49" s="16"/>
      <c r="J49" s="64"/>
      <c r="K49" s="63"/>
      <c r="L49" s="95">
        <f t="shared" si="7"/>
        <v>258</v>
      </c>
      <c r="M49" s="96"/>
      <c r="N49" s="94">
        <f t="shared" ref="N49:N110" si="19">+L49-M49</f>
        <v>258</v>
      </c>
      <c r="O49" s="64"/>
      <c r="P49" s="57">
        <v>258</v>
      </c>
      <c r="Q49" s="97">
        <f t="shared" ref="Q49:Q55" si="20">+L49+O49-P49</f>
        <v>0</v>
      </c>
      <c r="R49" s="2">
        <f t="shared" si="13"/>
        <v>0</v>
      </c>
      <c r="S49" s="2">
        <f t="shared" si="14"/>
        <v>0</v>
      </c>
      <c r="T49" s="2">
        <f t="shared" si="15"/>
        <v>0</v>
      </c>
      <c r="W49" s="110"/>
    </row>
    <row r="50" spans="1:23" ht="12" customHeight="1" x14ac:dyDescent="0.2">
      <c r="A50" s="98">
        <v>2007</v>
      </c>
      <c r="B50" s="90" t="s">
        <v>297</v>
      </c>
      <c r="C50" s="99" t="s">
        <v>200</v>
      </c>
      <c r="D50" s="100" t="s">
        <v>354</v>
      </c>
      <c r="E50" s="57">
        <v>30</v>
      </c>
      <c r="F50" s="109">
        <v>150</v>
      </c>
      <c r="G50" s="109"/>
      <c r="H50" s="109"/>
      <c r="I50" s="16"/>
      <c r="J50" s="64"/>
      <c r="K50" s="63"/>
      <c r="L50" s="95">
        <f t="shared" si="7"/>
        <v>30</v>
      </c>
      <c r="M50" s="96"/>
      <c r="N50" s="94">
        <f t="shared" si="19"/>
        <v>30</v>
      </c>
      <c r="O50" s="63"/>
      <c r="P50" s="57">
        <v>30</v>
      </c>
      <c r="Q50" s="97">
        <f t="shared" si="20"/>
        <v>0</v>
      </c>
      <c r="R50" s="2">
        <f t="shared" si="13"/>
        <v>0</v>
      </c>
      <c r="S50" s="2">
        <f t="shared" si="14"/>
        <v>0</v>
      </c>
      <c r="T50" s="2">
        <f t="shared" si="15"/>
        <v>0</v>
      </c>
      <c r="W50" s="64"/>
    </row>
    <row r="51" spans="1:23" ht="12" customHeight="1" x14ac:dyDescent="0.2">
      <c r="A51" s="98">
        <v>2007</v>
      </c>
      <c r="B51" s="90" t="s">
        <v>296</v>
      </c>
      <c r="C51" s="111" t="s">
        <v>195</v>
      </c>
      <c r="D51" s="112" t="s">
        <v>355</v>
      </c>
      <c r="E51" s="57">
        <v>270</v>
      </c>
      <c r="F51" s="109">
        <v>75</v>
      </c>
      <c r="G51" s="109"/>
      <c r="H51" s="109"/>
      <c r="I51" s="16"/>
      <c r="J51" s="64"/>
      <c r="K51" s="63"/>
      <c r="L51" s="95">
        <f t="shared" si="7"/>
        <v>270</v>
      </c>
      <c r="M51" s="96"/>
      <c r="N51" s="94">
        <f t="shared" si="19"/>
        <v>270</v>
      </c>
      <c r="O51" s="63"/>
      <c r="P51" s="57">
        <v>270</v>
      </c>
      <c r="Q51" s="97">
        <f t="shared" si="20"/>
        <v>0</v>
      </c>
      <c r="R51" s="2">
        <f t="shared" si="13"/>
        <v>0</v>
      </c>
      <c r="S51" s="2">
        <f t="shared" si="14"/>
        <v>0</v>
      </c>
      <c r="T51" s="2">
        <f t="shared" si="15"/>
        <v>0</v>
      </c>
      <c r="W51" s="64"/>
    </row>
    <row r="52" spans="1:23" ht="12" customHeight="1" x14ac:dyDescent="0.2">
      <c r="A52" s="105">
        <v>2007</v>
      </c>
      <c r="B52" s="90" t="s">
        <v>269</v>
      </c>
      <c r="C52" s="11" t="s">
        <v>126</v>
      </c>
      <c r="D52" s="113" t="s">
        <v>356</v>
      </c>
      <c r="E52" s="57">
        <v>0</v>
      </c>
      <c r="F52" s="109">
        <v>150</v>
      </c>
      <c r="G52" s="109"/>
      <c r="H52" s="109"/>
      <c r="I52" s="16"/>
      <c r="J52" s="64"/>
      <c r="K52" s="64"/>
      <c r="L52" s="95">
        <f t="shared" si="7"/>
        <v>0</v>
      </c>
      <c r="M52" s="96"/>
      <c r="N52" s="94">
        <f t="shared" si="19"/>
        <v>0</v>
      </c>
      <c r="O52" s="64"/>
      <c r="P52" s="57"/>
      <c r="Q52" s="97">
        <f t="shared" si="20"/>
        <v>0</v>
      </c>
      <c r="R52" s="2">
        <f t="shared" si="13"/>
        <v>0</v>
      </c>
      <c r="S52" s="2">
        <f t="shared" si="14"/>
        <v>0</v>
      </c>
      <c r="T52" s="2">
        <f t="shared" si="15"/>
        <v>0</v>
      </c>
      <c r="W52" s="114"/>
    </row>
    <row r="53" spans="1:23" ht="12" customHeight="1" x14ac:dyDescent="0.2">
      <c r="A53" s="105">
        <v>2007</v>
      </c>
      <c r="B53" s="115" t="s">
        <v>295</v>
      </c>
      <c r="C53" s="11" t="s">
        <v>127</v>
      </c>
      <c r="D53" s="61" t="s">
        <v>357</v>
      </c>
      <c r="E53" s="57">
        <v>30</v>
      </c>
      <c r="F53" s="109">
        <v>150</v>
      </c>
      <c r="G53" s="109"/>
      <c r="H53" s="109"/>
      <c r="I53" s="16"/>
      <c r="J53" s="64"/>
      <c r="K53" s="63"/>
      <c r="L53" s="95">
        <f t="shared" si="7"/>
        <v>30</v>
      </c>
      <c r="M53" s="96"/>
      <c r="N53" s="94">
        <f t="shared" si="19"/>
        <v>30</v>
      </c>
      <c r="O53" s="63"/>
      <c r="P53" s="57">
        <v>28</v>
      </c>
      <c r="Q53" s="97">
        <f t="shared" si="20"/>
        <v>2</v>
      </c>
      <c r="R53" s="2">
        <f t="shared" si="13"/>
        <v>0</v>
      </c>
      <c r="S53" s="2">
        <f t="shared" si="14"/>
        <v>0</v>
      </c>
      <c r="T53" s="2">
        <f t="shared" si="15"/>
        <v>0</v>
      </c>
      <c r="W53" s="63"/>
    </row>
    <row r="54" spans="1:23" ht="12" customHeight="1" x14ac:dyDescent="0.2">
      <c r="A54" s="98">
        <v>2007</v>
      </c>
      <c r="B54" s="90" t="s">
        <v>270</v>
      </c>
      <c r="C54" s="111" t="s">
        <v>128</v>
      </c>
      <c r="D54" s="61" t="s">
        <v>358</v>
      </c>
      <c r="E54" s="57">
        <v>0</v>
      </c>
      <c r="F54" s="94">
        <v>300</v>
      </c>
      <c r="G54" s="94"/>
      <c r="H54" s="94"/>
      <c r="I54" s="16"/>
      <c r="J54" s="64"/>
      <c r="K54" s="63"/>
      <c r="L54" s="95">
        <f t="shared" si="7"/>
        <v>0</v>
      </c>
      <c r="M54" s="96"/>
      <c r="N54" s="94">
        <f t="shared" si="19"/>
        <v>0</v>
      </c>
      <c r="O54" s="63"/>
      <c r="P54" s="57">
        <v>0</v>
      </c>
      <c r="Q54" s="97">
        <f t="shared" si="20"/>
        <v>0</v>
      </c>
      <c r="R54" s="2">
        <f t="shared" si="13"/>
        <v>0</v>
      </c>
      <c r="S54" s="2">
        <f t="shared" si="14"/>
        <v>0</v>
      </c>
      <c r="T54" s="2">
        <f t="shared" si="15"/>
        <v>0</v>
      </c>
      <c r="W54" s="63"/>
    </row>
    <row r="55" spans="1:23" ht="12" customHeight="1" x14ac:dyDescent="0.2">
      <c r="A55" s="98">
        <v>2007</v>
      </c>
      <c r="B55" s="90" t="s">
        <v>294</v>
      </c>
      <c r="C55" s="116" t="s">
        <v>199</v>
      </c>
      <c r="D55" s="61" t="s">
        <v>359</v>
      </c>
      <c r="E55" s="57">
        <v>3</v>
      </c>
      <c r="F55" s="94">
        <v>300</v>
      </c>
      <c r="G55" s="94"/>
      <c r="H55" s="94"/>
      <c r="I55" s="16"/>
      <c r="J55" s="64">
        <v>-1</v>
      </c>
      <c r="K55" s="63"/>
      <c r="L55" s="95">
        <f t="shared" si="7"/>
        <v>2</v>
      </c>
      <c r="M55" s="96"/>
      <c r="N55" s="94">
        <f t="shared" si="19"/>
        <v>2</v>
      </c>
      <c r="O55" s="63"/>
      <c r="P55" s="57">
        <v>2</v>
      </c>
      <c r="Q55" s="97">
        <f t="shared" si="20"/>
        <v>0</v>
      </c>
      <c r="R55" s="2">
        <f t="shared" si="13"/>
        <v>0</v>
      </c>
      <c r="S55" s="2">
        <f t="shared" si="14"/>
        <v>0</v>
      </c>
      <c r="T55" s="2">
        <f t="shared" si="15"/>
        <v>0</v>
      </c>
      <c r="W55" s="117"/>
    </row>
    <row r="56" spans="1:23" x14ac:dyDescent="0.2">
      <c r="A56" s="101"/>
      <c r="B56" s="101"/>
      <c r="C56" s="102"/>
      <c r="D56" s="118"/>
      <c r="E56" s="119"/>
      <c r="F56" s="66"/>
      <c r="G56" s="66"/>
      <c r="H56" s="66"/>
      <c r="I56" s="66"/>
      <c r="J56" s="66"/>
      <c r="K56" s="66"/>
      <c r="L56" s="65"/>
      <c r="M56" s="66"/>
      <c r="N56" s="66"/>
      <c r="O56" s="66"/>
      <c r="P56" s="66"/>
      <c r="Q56" s="66"/>
      <c r="R56" s="2">
        <f t="shared" si="13"/>
        <v>0</v>
      </c>
      <c r="S56" s="2">
        <f t="shared" si="14"/>
        <v>0</v>
      </c>
      <c r="T56" s="2">
        <f t="shared" si="15"/>
        <v>0</v>
      </c>
    </row>
    <row r="57" spans="1:23" ht="12" customHeight="1" x14ac:dyDescent="0.2">
      <c r="A57" s="120">
        <v>2008</v>
      </c>
      <c r="B57" s="90" t="s">
        <v>299</v>
      </c>
      <c r="C57" s="111" t="s">
        <v>314</v>
      </c>
      <c r="D57" s="61" t="s">
        <v>360</v>
      </c>
      <c r="E57" s="57">
        <v>4</v>
      </c>
      <c r="F57" s="94">
        <v>75</v>
      </c>
      <c r="G57" s="94"/>
      <c r="H57" s="94"/>
      <c r="I57" s="16"/>
      <c r="J57" s="64"/>
      <c r="K57" s="63"/>
      <c r="L57" s="95">
        <f t="shared" si="7"/>
        <v>4</v>
      </c>
      <c r="M57" s="96"/>
      <c r="N57" s="94">
        <f t="shared" si="19"/>
        <v>4</v>
      </c>
      <c r="O57" s="63"/>
      <c r="P57" s="57">
        <v>4</v>
      </c>
      <c r="Q57" s="97">
        <f t="shared" ref="Q57:Q71" si="21">+L57+O57-P57</f>
        <v>0</v>
      </c>
      <c r="R57" s="2">
        <f t="shared" si="13"/>
        <v>0</v>
      </c>
      <c r="S57" s="2">
        <f t="shared" si="14"/>
        <v>0</v>
      </c>
      <c r="T57" s="2">
        <f t="shared" si="15"/>
        <v>0</v>
      </c>
    </row>
    <row r="58" spans="1:23" ht="12" customHeight="1" x14ac:dyDescent="0.2">
      <c r="A58" s="121">
        <v>2008</v>
      </c>
      <c r="B58" s="90" t="s">
        <v>182</v>
      </c>
      <c r="C58" s="11" t="s">
        <v>134</v>
      </c>
      <c r="D58" s="60" t="s">
        <v>346</v>
      </c>
      <c r="E58" s="79">
        <v>1803</v>
      </c>
      <c r="F58" s="94">
        <v>75</v>
      </c>
      <c r="G58" s="94"/>
      <c r="H58" s="94"/>
      <c r="I58" s="16">
        <f>-600-1377+112-9-163</f>
        <v>-2037</v>
      </c>
      <c r="J58" s="64"/>
      <c r="K58" s="63">
        <f>172+168-133</f>
        <v>207</v>
      </c>
      <c r="L58" s="95">
        <f t="shared" si="7"/>
        <v>-27</v>
      </c>
      <c r="M58" s="96"/>
      <c r="N58" s="94">
        <f>+L58-M58</f>
        <v>-27</v>
      </c>
      <c r="O58" s="63"/>
      <c r="P58" s="57">
        <v>0</v>
      </c>
      <c r="Q58" s="97">
        <f t="shared" si="21"/>
        <v>-27</v>
      </c>
      <c r="R58" s="2">
        <f t="shared" si="13"/>
        <v>0</v>
      </c>
      <c r="S58" s="2">
        <f t="shared" si="14"/>
        <v>0</v>
      </c>
      <c r="T58" s="2">
        <f t="shared" si="15"/>
        <v>0</v>
      </c>
    </row>
    <row r="59" spans="1:23" ht="12" customHeight="1" x14ac:dyDescent="0.2">
      <c r="A59" s="122">
        <v>2008</v>
      </c>
      <c r="B59" s="90" t="s">
        <v>303</v>
      </c>
      <c r="C59" s="111" t="s">
        <v>137</v>
      </c>
      <c r="D59" s="61" t="s">
        <v>351</v>
      </c>
      <c r="E59" s="57">
        <v>1214</v>
      </c>
      <c r="F59" s="94">
        <v>75</v>
      </c>
      <c r="G59" s="94"/>
      <c r="H59" s="94"/>
      <c r="I59" s="16">
        <f>1200+600+163+66</f>
        <v>2029</v>
      </c>
      <c r="J59" s="64">
        <v>-3076</v>
      </c>
      <c r="K59" s="63">
        <v>133</v>
      </c>
      <c r="L59" s="95">
        <f t="shared" si="7"/>
        <v>300</v>
      </c>
      <c r="M59" s="96"/>
      <c r="N59" s="94">
        <f>+L59-M59</f>
        <v>300</v>
      </c>
      <c r="O59" s="63"/>
      <c r="P59" s="57">
        <v>300</v>
      </c>
      <c r="Q59" s="97">
        <f t="shared" si="21"/>
        <v>0</v>
      </c>
      <c r="R59" s="2">
        <f t="shared" si="13"/>
        <v>0</v>
      </c>
      <c r="S59" s="2">
        <f t="shared" si="14"/>
        <v>0</v>
      </c>
      <c r="T59" s="2">
        <f t="shared" si="15"/>
        <v>0</v>
      </c>
    </row>
    <row r="60" spans="1:23" s="129" customFormat="1" ht="12" customHeight="1" x14ac:dyDescent="0.25">
      <c r="A60" s="123">
        <v>2008</v>
      </c>
      <c r="B60" s="115" t="s">
        <v>302</v>
      </c>
      <c r="C60" s="124" t="s">
        <v>129</v>
      </c>
      <c r="D60" s="60" t="s">
        <v>344</v>
      </c>
      <c r="E60" s="79">
        <v>169</v>
      </c>
      <c r="F60" s="94">
        <v>75</v>
      </c>
      <c r="G60" s="132"/>
      <c r="H60" s="132"/>
      <c r="I60" s="126">
        <f>149+361+672+195+9</f>
        <v>1386</v>
      </c>
      <c r="J60" s="125">
        <v>-1387</v>
      </c>
      <c r="K60" s="127">
        <v>-168</v>
      </c>
      <c r="L60" s="95">
        <f t="shared" si="7"/>
        <v>0</v>
      </c>
      <c r="M60" s="96"/>
      <c r="N60" s="94">
        <f>+L60-M60</f>
        <v>0</v>
      </c>
      <c r="O60" s="125"/>
      <c r="P60" s="57">
        <v>0</v>
      </c>
      <c r="Q60" s="97">
        <f t="shared" si="21"/>
        <v>0</v>
      </c>
      <c r="R60" s="2">
        <f t="shared" si="13"/>
        <v>0</v>
      </c>
      <c r="S60" s="2">
        <f t="shared" si="14"/>
        <v>0</v>
      </c>
      <c r="T60" s="2">
        <f t="shared" si="15"/>
        <v>0</v>
      </c>
      <c r="U60" s="128"/>
      <c r="V60" s="128"/>
      <c r="W60" s="128"/>
    </row>
    <row r="61" spans="1:23" ht="12" customHeight="1" x14ac:dyDescent="0.2">
      <c r="A61" s="130">
        <v>2008</v>
      </c>
      <c r="B61" s="90" t="s">
        <v>300</v>
      </c>
      <c r="C61" s="131" t="s">
        <v>315</v>
      </c>
      <c r="D61" s="61" t="s">
        <v>342</v>
      </c>
      <c r="E61" s="58">
        <v>284</v>
      </c>
      <c r="F61" s="132">
        <v>75</v>
      </c>
      <c r="G61" s="132"/>
      <c r="H61" s="132"/>
      <c r="I61" s="126">
        <v>-112</v>
      </c>
      <c r="J61" s="125"/>
      <c r="K61" s="67">
        <v>-172</v>
      </c>
      <c r="L61" s="95">
        <f t="shared" si="7"/>
        <v>0</v>
      </c>
      <c r="M61" s="133"/>
      <c r="N61" s="94">
        <f t="shared" si="19"/>
        <v>0</v>
      </c>
      <c r="O61" s="67"/>
      <c r="P61" s="58">
        <v>0</v>
      </c>
      <c r="Q61" s="97">
        <f t="shared" si="21"/>
        <v>0</v>
      </c>
      <c r="R61" s="2">
        <f t="shared" si="13"/>
        <v>0</v>
      </c>
      <c r="S61" s="2">
        <f t="shared" si="14"/>
        <v>0</v>
      </c>
      <c r="T61" s="2">
        <f t="shared" si="15"/>
        <v>0</v>
      </c>
    </row>
    <row r="62" spans="1:23" ht="12" customHeight="1" x14ac:dyDescent="0.2">
      <c r="A62" s="121">
        <v>2008</v>
      </c>
      <c r="B62" s="90" t="s">
        <v>268</v>
      </c>
      <c r="C62" s="11" t="s">
        <v>135</v>
      </c>
      <c r="D62" s="60" t="s">
        <v>347</v>
      </c>
      <c r="E62" s="79">
        <v>0</v>
      </c>
      <c r="F62" s="109">
        <v>150</v>
      </c>
      <c r="G62" s="94"/>
      <c r="H62" s="94"/>
      <c r="I62" s="16"/>
      <c r="J62" s="64"/>
      <c r="K62" s="64"/>
      <c r="L62" s="95">
        <f t="shared" si="7"/>
        <v>0</v>
      </c>
      <c r="M62" s="96"/>
      <c r="N62" s="94">
        <f>+L62-M62</f>
        <v>0</v>
      </c>
      <c r="O62" s="64"/>
      <c r="P62" s="57">
        <v>0</v>
      </c>
      <c r="Q62" s="97">
        <f t="shared" si="21"/>
        <v>0</v>
      </c>
      <c r="R62" s="2">
        <f t="shared" si="13"/>
        <v>0</v>
      </c>
      <c r="S62" s="2">
        <f t="shared" si="14"/>
        <v>0</v>
      </c>
      <c r="T62" s="2">
        <f t="shared" si="15"/>
        <v>0</v>
      </c>
    </row>
    <row r="63" spans="1:23" ht="12" customHeight="1" x14ac:dyDescent="0.2">
      <c r="A63" s="122">
        <v>2008</v>
      </c>
      <c r="B63" s="90" t="s">
        <v>330</v>
      </c>
      <c r="C63" s="111" t="s">
        <v>136</v>
      </c>
      <c r="D63" s="61" t="s">
        <v>348</v>
      </c>
      <c r="E63" s="57">
        <v>28</v>
      </c>
      <c r="F63" s="94">
        <v>150</v>
      </c>
      <c r="G63" s="94"/>
      <c r="H63" s="94"/>
      <c r="I63" s="16"/>
      <c r="J63" s="64">
        <v>-22</v>
      </c>
      <c r="K63" s="63"/>
      <c r="L63" s="95">
        <f t="shared" si="7"/>
        <v>6</v>
      </c>
      <c r="M63" s="96"/>
      <c r="N63" s="94">
        <f>+L63-M63</f>
        <v>6</v>
      </c>
      <c r="O63" s="63"/>
      <c r="P63" s="57">
        <v>11</v>
      </c>
      <c r="Q63" s="97">
        <f t="shared" si="21"/>
        <v>-5</v>
      </c>
      <c r="R63" s="2">
        <f t="shared" si="13"/>
        <v>0</v>
      </c>
      <c r="S63" s="2">
        <f t="shared" si="14"/>
        <v>0</v>
      </c>
      <c r="T63" s="2">
        <f t="shared" si="15"/>
        <v>0</v>
      </c>
    </row>
    <row r="64" spans="1:23" ht="12" customHeight="1" x14ac:dyDescent="0.2">
      <c r="A64" s="121">
        <v>2008</v>
      </c>
      <c r="B64" s="115" t="s">
        <v>183</v>
      </c>
      <c r="C64" s="11" t="s">
        <v>131</v>
      </c>
      <c r="D64" s="60" t="s">
        <v>340</v>
      </c>
      <c r="E64" s="79">
        <v>4800</v>
      </c>
      <c r="F64" s="94">
        <v>75</v>
      </c>
      <c r="G64" s="94"/>
      <c r="H64" s="94"/>
      <c r="I64" s="16">
        <f>-3303-1200</f>
        <v>-4503</v>
      </c>
      <c r="J64" s="64"/>
      <c r="K64" s="63">
        <v>-252</v>
      </c>
      <c r="L64" s="95">
        <f t="shared" si="7"/>
        <v>45</v>
      </c>
      <c r="M64" s="96"/>
      <c r="N64" s="94">
        <f>+L64-M64</f>
        <v>45</v>
      </c>
      <c r="O64" s="63"/>
      <c r="P64" s="57">
        <v>0</v>
      </c>
      <c r="Q64" s="97">
        <f t="shared" si="21"/>
        <v>45</v>
      </c>
      <c r="R64" s="2">
        <f t="shared" si="13"/>
        <v>0</v>
      </c>
      <c r="S64" s="2">
        <f t="shared" si="14"/>
        <v>0</v>
      </c>
      <c r="T64" s="2">
        <f t="shared" si="15"/>
        <v>0</v>
      </c>
    </row>
    <row r="65" spans="1:20" ht="12" customHeight="1" x14ac:dyDescent="0.2">
      <c r="A65" s="122">
        <v>2008</v>
      </c>
      <c r="B65" s="90" t="s">
        <v>304</v>
      </c>
      <c r="C65" s="111" t="s">
        <v>130</v>
      </c>
      <c r="D65" s="61" t="s">
        <v>349</v>
      </c>
      <c r="E65" s="57">
        <v>1606</v>
      </c>
      <c r="F65" s="94">
        <v>75</v>
      </c>
      <c r="G65" s="94"/>
      <c r="H65" s="94"/>
      <c r="I65" s="16">
        <f>444+1266+731+632+230</f>
        <v>3303</v>
      </c>
      <c r="J65" s="64">
        <v>-4865</v>
      </c>
      <c r="K65" s="63">
        <v>252</v>
      </c>
      <c r="L65" s="95">
        <f t="shared" si="7"/>
        <v>296</v>
      </c>
      <c r="M65" s="96"/>
      <c r="N65" s="94">
        <f>+L65-M65</f>
        <v>296</v>
      </c>
      <c r="O65" s="63"/>
      <c r="P65" s="57">
        <v>296</v>
      </c>
      <c r="Q65" s="97">
        <f t="shared" si="21"/>
        <v>0</v>
      </c>
      <c r="R65" s="2">
        <f t="shared" si="13"/>
        <v>0</v>
      </c>
      <c r="S65" s="2">
        <f t="shared" si="14"/>
        <v>0</v>
      </c>
      <c r="T65" s="2">
        <f t="shared" si="15"/>
        <v>0</v>
      </c>
    </row>
    <row r="66" spans="1:20" ht="12" customHeight="1" x14ac:dyDescent="0.2">
      <c r="A66" s="122">
        <v>2008</v>
      </c>
      <c r="B66" s="172" t="s">
        <v>301</v>
      </c>
      <c r="C66" s="131" t="s">
        <v>168</v>
      </c>
      <c r="D66" s="61" t="s">
        <v>343</v>
      </c>
      <c r="E66" s="79">
        <v>372</v>
      </c>
      <c r="F66" s="132">
        <v>75</v>
      </c>
      <c r="G66" s="132"/>
      <c r="H66" s="132"/>
      <c r="I66" s="126"/>
      <c r="J66" s="125">
        <v>-374</v>
      </c>
      <c r="K66" s="67"/>
      <c r="L66" s="95">
        <f t="shared" si="7"/>
        <v>-2</v>
      </c>
      <c r="M66" s="133"/>
      <c r="N66" s="94">
        <f t="shared" si="19"/>
        <v>-2</v>
      </c>
      <c r="O66" s="67"/>
      <c r="P66" s="58">
        <v>0</v>
      </c>
      <c r="Q66" s="97">
        <f t="shared" si="21"/>
        <v>-2</v>
      </c>
      <c r="R66" s="2">
        <f t="shared" si="13"/>
        <v>0</v>
      </c>
      <c r="S66" s="2">
        <f t="shared" si="14"/>
        <v>0</v>
      </c>
      <c r="T66" s="2">
        <f t="shared" si="15"/>
        <v>0</v>
      </c>
    </row>
    <row r="67" spans="1:20" ht="12" customHeight="1" x14ac:dyDescent="0.2">
      <c r="A67" s="122">
        <v>2008</v>
      </c>
      <c r="B67" s="172" t="s">
        <v>407</v>
      </c>
      <c r="C67" s="131" t="s">
        <v>130</v>
      </c>
      <c r="D67" s="61" t="s">
        <v>408</v>
      </c>
      <c r="E67" s="79">
        <v>66</v>
      </c>
      <c r="F67" s="132">
        <v>75</v>
      </c>
      <c r="G67" s="132"/>
      <c r="H67" s="132"/>
      <c r="I67" s="126">
        <v>-66</v>
      </c>
      <c r="J67" s="125"/>
      <c r="K67" s="67"/>
      <c r="L67" s="95">
        <f t="shared" si="7"/>
        <v>0</v>
      </c>
      <c r="M67" s="133"/>
      <c r="N67" s="94">
        <f t="shared" si="19"/>
        <v>0</v>
      </c>
      <c r="O67" s="67"/>
      <c r="P67" s="58">
        <v>0</v>
      </c>
      <c r="Q67" s="97">
        <f t="shared" si="21"/>
        <v>0</v>
      </c>
      <c r="R67" s="2">
        <f t="shared" si="13"/>
        <v>0</v>
      </c>
      <c r="S67" s="2">
        <f t="shared" si="14"/>
        <v>0</v>
      </c>
      <c r="T67" s="2">
        <f t="shared" si="15"/>
        <v>0</v>
      </c>
    </row>
    <row r="68" spans="1:20" ht="12" customHeight="1" x14ac:dyDescent="0.2">
      <c r="A68" s="122">
        <v>2008</v>
      </c>
      <c r="B68" s="90" t="s">
        <v>269</v>
      </c>
      <c r="C68" s="111" t="s">
        <v>132</v>
      </c>
      <c r="D68" s="61" t="s">
        <v>341</v>
      </c>
      <c r="E68" s="79">
        <v>229</v>
      </c>
      <c r="F68" s="94">
        <v>150</v>
      </c>
      <c r="G68" s="94"/>
      <c r="H68" s="94"/>
      <c r="I68" s="16">
        <f>-60-60-31</f>
        <v>-151</v>
      </c>
      <c r="J68" s="64"/>
      <c r="K68" s="63"/>
      <c r="L68" s="95">
        <f t="shared" si="7"/>
        <v>78</v>
      </c>
      <c r="M68" s="96"/>
      <c r="N68" s="94">
        <f t="shared" si="19"/>
        <v>78</v>
      </c>
      <c r="O68" s="63"/>
      <c r="P68" s="57">
        <v>78</v>
      </c>
      <c r="Q68" s="97">
        <f t="shared" si="21"/>
        <v>0</v>
      </c>
      <c r="R68" s="2">
        <f t="shared" si="13"/>
        <v>0</v>
      </c>
      <c r="S68" s="2">
        <f t="shared" si="14"/>
        <v>0</v>
      </c>
      <c r="T68" s="2">
        <f t="shared" si="15"/>
        <v>0</v>
      </c>
    </row>
    <row r="69" spans="1:20" ht="12" customHeight="1" x14ac:dyDescent="0.2">
      <c r="A69" s="122">
        <v>2008</v>
      </c>
      <c r="B69" s="90" t="s">
        <v>305</v>
      </c>
      <c r="C69" s="111" t="s">
        <v>239</v>
      </c>
      <c r="D69" s="61" t="s">
        <v>350</v>
      </c>
      <c r="E69" s="57">
        <v>33</v>
      </c>
      <c r="F69" s="94">
        <v>150</v>
      </c>
      <c r="G69" s="94"/>
      <c r="H69" s="94"/>
      <c r="I69" s="16">
        <f>60+60+31</f>
        <v>151</v>
      </c>
      <c r="J69" s="64">
        <f>-336/2</f>
        <v>-168</v>
      </c>
      <c r="K69" s="63"/>
      <c r="L69" s="95">
        <f t="shared" ref="L69:L143" si="22">SUM(E69:K69)-F69</f>
        <v>16</v>
      </c>
      <c r="M69" s="96"/>
      <c r="N69" s="94">
        <f t="shared" si="19"/>
        <v>16</v>
      </c>
      <c r="O69" s="63"/>
      <c r="P69" s="57">
        <v>6</v>
      </c>
      <c r="Q69" s="97">
        <f t="shared" si="21"/>
        <v>10</v>
      </c>
      <c r="R69" s="2">
        <f t="shared" si="13"/>
        <v>0</v>
      </c>
      <c r="S69" s="2">
        <f t="shared" si="14"/>
        <v>0</v>
      </c>
      <c r="T69" s="2">
        <f t="shared" si="15"/>
        <v>0</v>
      </c>
    </row>
    <row r="70" spans="1:20" ht="12" customHeight="1" x14ac:dyDescent="0.2">
      <c r="A70" s="122">
        <v>2008</v>
      </c>
      <c r="B70" s="90" t="s">
        <v>270</v>
      </c>
      <c r="C70" s="111" t="s">
        <v>133</v>
      </c>
      <c r="D70" s="61" t="s">
        <v>345</v>
      </c>
      <c r="E70" s="79">
        <v>10</v>
      </c>
      <c r="F70" s="94">
        <v>300</v>
      </c>
      <c r="G70" s="94"/>
      <c r="H70" s="94"/>
      <c r="I70" s="16">
        <v>-7</v>
      </c>
      <c r="J70" s="64"/>
      <c r="K70" s="63"/>
      <c r="L70" s="95">
        <f t="shared" si="22"/>
        <v>3</v>
      </c>
      <c r="M70" s="96"/>
      <c r="N70" s="94">
        <f t="shared" si="19"/>
        <v>3</v>
      </c>
      <c r="O70" s="63"/>
      <c r="P70" s="57">
        <v>3</v>
      </c>
      <c r="Q70" s="97">
        <f t="shared" si="21"/>
        <v>0</v>
      </c>
      <c r="R70" s="2">
        <f t="shared" si="13"/>
        <v>0</v>
      </c>
      <c r="S70" s="2">
        <f t="shared" si="14"/>
        <v>0</v>
      </c>
      <c r="T70" s="2">
        <f t="shared" si="15"/>
        <v>0</v>
      </c>
    </row>
    <row r="71" spans="1:20" ht="12" customHeight="1" x14ac:dyDescent="0.2">
      <c r="A71" s="130">
        <v>2008</v>
      </c>
      <c r="B71" s="90" t="s">
        <v>306</v>
      </c>
      <c r="C71" s="116" t="s">
        <v>316</v>
      </c>
      <c r="D71" s="61" t="s">
        <v>352</v>
      </c>
      <c r="E71" s="57">
        <v>6</v>
      </c>
      <c r="F71" s="94">
        <v>300</v>
      </c>
      <c r="G71" s="94"/>
      <c r="H71" s="94"/>
      <c r="I71" s="16">
        <v>7</v>
      </c>
      <c r="J71" s="64">
        <v>-13</v>
      </c>
      <c r="K71" s="63"/>
      <c r="L71" s="95">
        <f t="shared" si="22"/>
        <v>0</v>
      </c>
      <c r="M71" s="96"/>
      <c r="N71" s="94">
        <f t="shared" si="19"/>
        <v>0</v>
      </c>
      <c r="O71" s="63"/>
      <c r="P71" s="57">
        <v>0</v>
      </c>
      <c r="Q71" s="97">
        <f t="shared" si="21"/>
        <v>0</v>
      </c>
      <c r="R71" s="2">
        <f t="shared" si="13"/>
        <v>0</v>
      </c>
      <c r="S71" s="2">
        <f t="shared" si="14"/>
        <v>0</v>
      </c>
      <c r="T71" s="2">
        <f t="shared" si="15"/>
        <v>0</v>
      </c>
    </row>
    <row r="72" spans="1:20" ht="12" customHeight="1" x14ac:dyDescent="0.2">
      <c r="A72" s="101"/>
      <c r="B72" s="101"/>
      <c r="C72" s="102"/>
      <c r="D72" s="134"/>
      <c r="E72" s="135"/>
      <c r="F72" s="66"/>
      <c r="G72" s="66"/>
      <c r="H72" s="66"/>
      <c r="I72" s="66"/>
      <c r="J72" s="66"/>
      <c r="K72" s="66"/>
      <c r="L72" s="65"/>
      <c r="M72" s="66"/>
      <c r="N72" s="66"/>
      <c r="O72" s="66"/>
      <c r="P72" s="66"/>
      <c r="Q72" s="66"/>
      <c r="R72" s="2">
        <f t="shared" si="13"/>
        <v>0</v>
      </c>
      <c r="S72" s="2">
        <f t="shared" si="14"/>
        <v>0</v>
      </c>
      <c r="T72" s="2">
        <f t="shared" si="15"/>
        <v>0</v>
      </c>
    </row>
    <row r="73" spans="1:20" ht="12" customHeight="1" x14ac:dyDescent="0.2">
      <c r="A73" s="122">
        <v>2009</v>
      </c>
      <c r="B73" s="90" t="s">
        <v>291</v>
      </c>
      <c r="C73" s="111" t="s">
        <v>290</v>
      </c>
      <c r="D73" s="61" t="s">
        <v>289</v>
      </c>
      <c r="E73" s="57">
        <v>3</v>
      </c>
      <c r="F73" s="94">
        <v>75</v>
      </c>
      <c r="G73" s="94"/>
      <c r="H73" s="94"/>
      <c r="I73" s="16"/>
      <c r="J73" s="64"/>
      <c r="K73" s="63"/>
      <c r="L73" s="95">
        <f t="shared" si="22"/>
        <v>3</v>
      </c>
      <c r="M73" s="96"/>
      <c r="N73" s="94">
        <f t="shared" si="19"/>
        <v>3</v>
      </c>
      <c r="O73" s="63"/>
      <c r="P73" s="57">
        <v>3</v>
      </c>
      <c r="Q73" s="97">
        <f t="shared" ref="Q73:Q88" si="23">+L73+O73-P73</f>
        <v>0</v>
      </c>
      <c r="R73" s="2">
        <f t="shared" si="13"/>
        <v>0</v>
      </c>
      <c r="S73" s="2">
        <f t="shared" si="14"/>
        <v>0</v>
      </c>
      <c r="T73" s="2">
        <f t="shared" si="15"/>
        <v>0</v>
      </c>
    </row>
    <row r="74" spans="1:20" ht="12" customHeight="1" x14ac:dyDescent="0.2">
      <c r="A74" s="121">
        <v>2009</v>
      </c>
      <c r="B74" s="90" t="s">
        <v>182</v>
      </c>
      <c r="C74" s="11" t="s">
        <v>140</v>
      </c>
      <c r="D74" s="60" t="s">
        <v>381</v>
      </c>
      <c r="E74" s="57">
        <v>27000</v>
      </c>
      <c r="F74" s="94">
        <v>75</v>
      </c>
      <c r="G74" s="94"/>
      <c r="H74" s="94"/>
      <c r="I74" s="16">
        <f>-12680-1200-1-480-600-2131-10032-6</f>
        <v>-27130</v>
      </c>
      <c r="J74" s="64"/>
      <c r="K74" s="64">
        <v>130</v>
      </c>
      <c r="L74" s="95">
        <f t="shared" si="22"/>
        <v>0</v>
      </c>
      <c r="M74" s="96"/>
      <c r="N74" s="94">
        <f t="shared" si="19"/>
        <v>0</v>
      </c>
      <c r="O74" s="63"/>
      <c r="P74" s="57">
        <v>0</v>
      </c>
      <c r="Q74" s="97">
        <f t="shared" si="23"/>
        <v>0</v>
      </c>
      <c r="R74" s="2">
        <f t="shared" si="13"/>
        <v>0</v>
      </c>
      <c r="S74" s="2">
        <f t="shared" si="14"/>
        <v>0</v>
      </c>
      <c r="T74" s="2">
        <f t="shared" si="15"/>
        <v>0</v>
      </c>
    </row>
    <row r="75" spans="1:20" ht="12" customHeight="1" x14ac:dyDescent="0.2">
      <c r="A75" s="121">
        <v>2009</v>
      </c>
      <c r="B75" s="90" t="s">
        <v>281</v>
      </c>
      <c r="C75" s="11" t="s">
        <v>141</v>
      </c>
      <c r="D75" s="60" t="s">
        <v>380</v>
      </c>
      <c r="E75" s="57">
        <v>2507</v>
      </c>
      <c r="F75" s="94">
        <v>75</v>
      </c>
      <c r="G75" s="94"/>
      <c r="H75" s="94"/>
      <c r="I75" s="16">
        <f>600+1201+96+174+1022+600+318+120+1902+1790+1314+503+630+612+598+600+600+2131+10032+1237+6</f>
        <v>26086</v>
      </c>
      <c r="J75" s="64">
        <v>-27606</v>
      </c>
      <c r="K75" s="64"/>
      <c r="L75" s="95">
        <f t="shared" si="22"/>
        <v>987</v>
      </c>
      <c r="M75" s="96"/>
      <c r="N75" s="94">
        <f t="shared" si="19"/>
        <v>987</v>
      </c>
      <c r="O75" s="63"/>
      <c r="P75" s="57">
        <f>279+26+66+312</f>
        <v>683</v>
      </c>
      <c r="Q75" s="97">
        <f t="shared" si="23"/>
        <v>304</v>
      </c>
      <c r="R75" s="2">
        <f t="shared" si="13"/>
        <v>0</v>
      </c>
      <c r="S75" s="2">
        <f t="shared" si="14"/>
        <v>0</v>
      </c>
      <c r="T75" s="2">
        <f t="shared" si="15"/>
        <v>0</v>
      </c>
    </row>
    <row r="76" spans="1:20" ht="12" customHeight="1" x14ac:dyDescent="0.2">
      <c r="A76" s="121">
        <v>2009</v>
      </c>
      <c r="B76" s="90" t="s">
        <v>331</v>
      </c>
      <c r="C76" s="11" t="s">
        <v>170</v>
      </c>
      <c r="D76" s="60" t="s">
        <v>374</v>
      </c>
      <c r="E76" s="57">
        <v>114</v>
      </c>
      <c r="F76" s="94">
        <v>75</v>
      </c>
      <c r="G76" s="94"/>
      <c r="H76" s="94"/>
      <c r="I76" s="16">
        <f>378+822+480+600-76</f>
        <v>2204</v>
      </c>
      <c r="J76" s="64">
        <v>-2318</v>
      </c>
      <c r="K76" s="64"/>
      <c r="L76" s="95">
        <f t="shared" si="22"/>
        <v>0</v>
      </c>
      <c r="M76" s="96"/>
      <c r="N76" s="94">
        <f t="shared" si="19"/>
        <v>0</v>
      </c>
      <c r="O76" s="63"/>
      <c r="P76" s="57">
        <v>0</v>
      </c>
      <c r="Q76" s="97">
        <f t="shared" si="23"/>
        <v>0</v>
      </c>
      <c r="R76" s="2">
        <f t="shared" si="13"/>
        <v>0</v>
      </c>
      <c r="S76" s="2">
        <f t="shared" si="14"/>
        <v>0</v>
      </c>
      <c r="T76" s="2">
        <f t="shared" si="15"/>
        <v>0</v>
      </c>
    </row>
    <row r="77" spans="1:20" ht="12" customHeight="1" x14ac:dyDescent="0.2">
      <c r="A77" s="121">
        <v>2009</v>
      </c>
      <c r="B77" s="90" t="s">
        <v>332</v>
      </c>
      <c r="C77" s="11" t="s">
        <v>225</v>
      </c>
      <c r="D77" s="60" t="s">
        <v>226</v>
      </c>
      <c r="E77" s="57">
        <v>0</v>
      </c>
      <c r="F77" s="94">
        <v>75</v>
      </c>
      <c r="G77" s="94"/>
      <c r="H77" s="94"/>
      <c r="I77" s="16">
        <v>1</v>
      </c>
      <c r="J77" s="64">
        <v>-1</v>
      </c>
      <c r="K77" s="64"/>
      <c r="L77" s="95">
        <f t="shared" si="22"/>
        <v>0</v>
      </c>
      <c r="M77" s="96"/>
      <c r="N77" s="94">
        <f t="shared" si="19"/>
        <v>0</v>
      </c>
      <c r="O77" s="63"/>
      <c r="P77" s="57">
        <v>0</v>
      </c>
      <c r="Q77" s="97">
        <f t="shared" si="23"/>
        <v>0</v>
      </c>
      <c r="R77" s="2">
        <f t="shared" si="13"/>
        <v>0</v>
      </c>
      <c r="S77" s="2">
        <f t="shared" si="14"/>
        <v>0</v>
      </c>
      <c r="T77" s="2">
        <f t="shared" si="15"/>
        <v>0</v>
      </c>
    </row>
    <row r="78" spans="1:20" ht="12" customHeight="1" x14ac:dyDescent="0.2">
      <c r="A78" s="121">
        <v>2009</v>
      </c>
      <c r="B78" s="90" t="s">
        <v>268</v>
      </c>
      <c r="C78" s="11" t="s">
        <v>142</v>
      </c>
      <c r="D78" s="60" t="s">
        <v>284</v>
      </c>
      <c r="E78" s="57">
        <v>1174</v>
      </c>
      <c r="F78" s="94">
        <v>150</v>
      </c>
      <c r="G78" s="94"/>
      <c r="H78" s="94"/>
      <c r="I78" s="16">
        <f>-6-12-48-150-324-216-216-58</f>
        <v>-1030</v>
      </c>
      <c r="J78" s="64"/>
      <c r="K78" s="64"/>
      <c r="L78" s="95">
        <f t="shared" si="22"/>
        <v>144</v>
      </c>
      <c r="M78" s="96"/>
      <c r="N78" s="94">
        <f t="shared" si="19"/>
        <v>144</v>
      </c>
      <c r="O78" s="63">
        <v>116</v>
      </c>
      <c r="P78" s="57">
        <v>260</v>
      </c>
      <c r="Q78" s="97">
        <f t="shared" si="23"/>
        <v>0</v>
      </c>
      <c r="R78" s="2">
        <f t="shared" si="13"/>
        <v>0</v>
      </c>
      <c r="S78" s="2">
        <f t="shared" si="14"/>
        <v>0</v>
      </c>
      <c r="T78" s="2">
        <f t="shared" si="15"/>
        <v>0</v>
      </c>
    </row>
    <row r="79" spans="1:20" ht="12" customHeight="1" x14ac:dyDescent="0.2">
      <c r="A79" s="121">
        <v>2009</v>
      </c>
      <c r="B79" s="90" t="s">
        <v>282</v>
      </c>
      <c r="C79" s="11" t="s">
        <v>361</v>
      </c>
      <c r="D79" s="60" t="s">
        <v>379</v>
      </c>
      <c r="E79" s="57">
        <v>12</v>
      </c>
      <c r="F79" s="94">
        <v>150</v>
      </c>
      <c r="G79" s="94"/>
      <c r="H79" s="94"/>
      <c r="I79" s="16">
        <f>216+324+216+216+58</f>
        <v>1030</v>
      </c>
      <c r="J79" s="64">
        <v>-485</v>
      </c>
      <c r="K79" s="64"/>
      <c r="L79" s="95">
        <f t="shared" si="22"/>
        <v>557</v>
      </c>
      <c r="M79" s="96"/>
      <c r="N79" s="94">
        <f t="shared" si="19"/>
        <v>557</v>
      </c>
      <c r="O79" s="63">
        <v>-116</v>
      </c>
      <c r="P79" s="57">
        <f>267+76+96</f>
        <v>439</v>
      </c>
      <c r="Q79" s="97">
        <f t="shared" si="23"/>
        <v>2</v>
      </c>
      <c r="R79" s="2">
        <f t="shared" si="13"/>
        <v>0</v>
      </c>
      <c r="S79" s="2">
        <f t="shared" si="14"/>
        <v>0</v>
      </c>
      <c r="T79" s="2">
        <f t="shared" si="15"/>
        <v>0</v>
      </c>
    </row>
    <row r="80" spans="1:20" ht="12" customHeight="1" x14ac:dyDescent="0.2">
      <c r="A80" s="121">
        <v>2009</v>
      </c>
      <c r="B80" s="90" t="s">
        <v>183</v>
      </c>
      <c r="C80" s="11" t="s">
        <v>144</v>
      </c>
      <c r="D80" s="60" t="s">
        <v>286</v>
      </c>
      <c r="E80" s="57">
        <v>28896</v>
      </c>
      <c r="F80" s="94">
        <v>75</v>
      </c>
      <c r="G80" s="94"/>
      <c r="H80" s="94"/>
      <c r="I80" s="16">
        <f>-6-2508-636-228-1-1-894-1402-1200-1200-606-1161-600-439-9-2</f>
        <v>-10893</v>
      </c>
      <c r="J80" s="64"/>
      <c r="K80" s="64">
        <v>-130</v>
      </c>
      <c r="L80" s="95">
        <f t="shared" si="22"/>
        <v>17873</v>
      </c>
      <c r="M80" s="96"/>
      <c r="N80" s="94">
        <f t="shared" si="19"/>
        <v>17873</v>
      </c>
      <c r="O80" s="63">
        <f>-248-55</f>
        <v>-303</v>
      </c>
      <c r="P80" s="57">
        <v>17522</v>
      </c>
      <c r="Q80" s="97">
        <f t="shared" si="23"/>
        <v>48</v>
      </c>
      <c r="R80" s="2">
        <f t="shared" si="13"/>
        <v>0</v>
      </c>
      <c r="S80" s="2">
        <f t="shared" si="14"/>
        <v>0</v>
      </c>
      <c r="T80" s="2">
        <f t="shared" si="15"/>
        <v>0</v>
      </c>
    </row>
    <row r="81" spans="1:31" ht="12" customHeight="1" x14ac:dyDescent="0.2">
      <c r="A81" s="121">
        <v>2009</v>
      </c>
      <c r="B81" s="90" t="s">
        <v>240</v>
      </c>
      <c r="C81" s="11" t="s">
        <v>171</v>
      </c>
      <c r="D81" s="60" t="s">
        <v>287</v>
      </c>
      <c r="E81" s="57">
        <v>499</v>
      </c>
      <c r="F81" s="94">
        <v>75</v>
      </c>
      <c r="G81" s="94"/>
      <c r="H81" s="94"/>
      <c r="I81" s="16">
        <f>2+36+1200+162+120+688+300+636+894+1402+1200+1200+606+439</f>
        <v>8885</v>
      </c>
      <c r="J81" s="64">
        <v>-7757</v>
      </c>
      <c r="K81" s="64"/>
      <c r="L81" s="95">
        <f t="shared" si="22"/>
        <v>1627</v>
      </c>
      <c r="M81" s="96"/>
      <c r="N81" s="94">
        <f t="shared" si="19"/>
        <v>1627</v>
      </c>
      <c r="O81" s="63">
        <v>248</v>
      </c>
      <c r="P81" s="57">
        <f>1315+14+216+330</f>
        <v>1875</v>
      </c>
      <c r="Q81" s="97">
        <f t="shared" si="23"/>
        <v>0</v>
      </c>
      <c r="R81" s="2">
        <f t="shared" si="13"/>
        <v>0</v>
      </c>
      <c r="S81" s="2">
        <f t="shared" si="14"/>
        <v>0</v>
      </c>
      <c r="T81" s="2">
        <f t="shared" si="15"/>
        <v>0</v>
      </c>
    </row>
    <row r="82" spans="1:31" ht="12" customHeight="1" x14ac:dyDescent="0.2">
      <c r="A82" s="121">
        <v>2009</v>
      </c>
      <c r="B82" s="90" t="s">
        <v>236</v>
      </c>
      <c r="C82" s="11" t="s">
        <v>237</v>
      </c>
      <c r="D82" s="60" t="s">
        <v>283</v>
      </c>
      <c r="E82" s="57">
        <v>0</v>
      </c>
      <c r="F82" s="94">
        <v>75</v>
      </c>
      <c r="G82" s="94"/>
      <c r="H82" s="94"/>
      <c r="I82" s="16">
        <f>1+1</f>
        <v>2</v>
      </c>
      <c r="J82" s="64">
        <v>-2</v>
      </c>
      <c r="K82" s="64"/>
      <c r="L82" s="95">
        <f t="shared" si="22"/>
        <v>0</v>
      </c>
      <c r="M82" s="96"/>
      <c r="N82" s="94">
        <f t="shared" si="19"/>
        <v>0</v>
      </c>
      <c r="O82" s="63"/>
      <c r="P82" s="57">
        <v>0</v>
      </c>
      <c r="Q82" s="97">
        <f t="shared" si="23"/>
        <v>0</v>
      </c>
      <c r="R82" s="2">
        <f t="shared" si="13"/>
        <v>0</v>
      </c>
      <c r="S82" s="2">
        <f t="shared" si="14"/>
        <v>0</v>
      </c>
      <c r="T82" s="2">
        <f t="shared" si="15"/>
        <v>0</v>
      </c>
    </row>
    <row r="83" spans="1:31" ht="12" customHeight="1" x14ac:dyDescent="0.2">
      <c r="A83" s="121">
        <v>2009</v>
      </c>
      <c r="B83" s="90" t="s">
        <v>415</v>
      </c>
      <c r="C83" s="11" t="s">
        <v>464</v>
      </c>
      <c r="D83" s="60" t="s">
        <v>416</v>
      </c>
      <c r="E83" s="57">
        <v>0</v>
      </c>
      <c r="F83" s="94">
        <v>75</v>
      </c>
      <c r="G83" s="94"/>
      <c r="H83" s="94"/>
      <c r="I83" s="16">
        <f>6+228+600</f>
        <v>834</v>
      </c>
      <c r="J83" s="64">
        <v>-868</v>
      </c>
      <c r="K83" s="64"/>
      <c r="L83" s="95">
        <f t="shared" si="22"/>
        <v>-34</v>
      </c>
      <c r="M83" s="96"/>
      <c r="N83" s="94">
        <f t="shared" si="19"/>
        <v>-34</v>
      </c>
      <c r="O83" s="63">
        <v>55</v>
      </c>
      <c r="P83" s="57">
        <v>21</v>
      </c>
      <c r="Q83" s="97">
        <f t="shared" si="23"/>
        <v>0</v>
      </c>
      <c r="R83" s="2">
        <f t="shared" si="13"/>
        <v>0</v>
      </c>
      <c r="S83" s="2">
        <f t="shared" si="14"/>
        <v>0</v>
      </c>
      <c r="T83" s="2">
        <f t="shared" si="15"/>
        <v>0</v>
      </c>
    </row>
    <row r="84" spans="1:31" ht="12" customHeight="1" x14ac:dyDescent="0.2">
      <c r="A84" s="121">
        <v>2009</v>
      </c>
      <c r="B84" s="90" t="s">
        <v>269</v>
      </c>
      <c r="C84" s="11" t="s">
        <v>145</v>
      </c>
      <c r="D84" s="60" t="s">
        <v>285</v>
      </c>
      <c r="E84" s="57">
        <v>1268</v>
      </c>
      <c r="F84" s="94">
        <v>75</v>
      </c>
      <c r="G84" s="94"/>
      <c r="H84" s="94"/>
      <c r="I84" s="16">
        <f>-59-2-216</f>
        <v>-277</v>
      </c>
      <c r="J84" s="64"/>
      <c r="K84" s="64">
        <v>18</v>
      </c>
      <c r="L84" s="95">
        <f t="shared" si="22"/>
        <v>1009</v>
      </c>
      <c r="M84" s="96"/>
      <c r="N84" s="94">
        <f t="shared" si="19"/>
        <v>1009</v>
      </c>
      <c r="O84" s="63">
        <v>-73</v>
      </c>
      <c r="P84" s="57">
        <v>915</v>
      </c>
      <c r="Q84" s="97">
        <f t="shared" si="23"/>
        <v>21</v>
      </c>
      <c r="R84" s="2">
        <f t="shared" si="13"/>
        <v>0</v>
      </c>
      <c r="S84" s="2">
        <f t="shared" si="14"/>
        <v>0</v>
      </c>
      <c r="T84" s="2">
        <f t="shared" si="15"/>
        <v>0</v>
      </c>
    </row>
    <row r="85" spans="1:31" ht="12" customHeight="1" x14ac:dyDescent="0.2">
      <c r="A85" s="121">
        <v>2009</v>
      </c>
      <c r="B85" s="90" t="s">
        <v>500</v>
      </c>
      <c r="C85" s="11" t="s">
        <v>501</v>
      </c>
      <c r="D85" s="60" t="s">
        <v>502</v>
      </c>
      <c r="E85" s="57">
        <v>0</v>
      </c>
      <c r="F85" s="94">
        <v>150</v>
      </c>
      <c r="G85" s="94"/>
      <c r="H85" s="94"/>
      <c r="I85" s="16">
        <v>2</v>
      </c>
      <c r="J85" s="64">
        <v>-2</v>
      </c>
      <c r="K85" s="64"/>
      <c r="L85" s="95">
        <f t="shared" si="22"/>
        <v>0</v>
      </c>
      <c r="M85" s="96"/>
      <c r="N85" s="94">
        <f t="shared" si="19"/>
        <v>0</v>
      </c>
      <c r="O85" s="63"/>
      <c r="P85" s="57">
        <v>0</v>
      </c>
      <c r="Q85" s="97">
        <f t="shared" si="23"/>
        <v>0</v>
      </c>
      <c r="R85" s="2">
        <f t="shared" si="13"/>
        <v>0</v>
      </c>
      <c r="S85" s="2">
        <f t="shared" si="14"/>
        <v>0</v>
      </c>
      <c r="T85" s="2">
        <f t="shared" si="15"/>
        <v>0</v>
      </c>
    </row>
    <row r="86" spans="1:31" ht="12" customHeight="1" x14ac:dyDescent="0.2">
      <c r="A86" s="121">
        <v>2009</v>
      </c>
      <c r="B86" s="90" t="s">
        <v>292</v>
      </c>
      <c r="C86" s="11" t="s">
        <v>241</v>
      </c>
      <c r="D86" s="60" t="s">
        <v>293</v>
      </c>
      <c r="E86" s="57">
        <v>0</v>
      </c>
      <c r="F86" s="94">
        <v>150</v>
      </c>
      <c r="G86" s="94"/>
      <c r="H86" s="94"/>
      <c r="I86" s="16">
        <f>59+216</f>
        <v>275</v>
      </c>
      <c r="J86" s="64">
        <v>-266</v>
      </c>
      <c r="K86" s="64">
        <v>-18</v>
      </c>
      <c r="L86" s="95">
        <f t="shared" si="22"/>
        <v>-9</v>
      </c>
      <c r="M86" s="96"/>
      <c r="N86" s="94">
        <f t="shared" si="19"/>
        <v>-9</v>
      </c>
      <c r="O86" s="63">
        <v>73</v>
      </c>
      <c r="P86" s="57">
        <v>64</v>
      </c>
      <c r="Q86" s="97">
        <f t="shared" si="23"/>
        <v>0</v>
      </c>
      <c r="R86" s="2">
        <f t="shared" si="13"/>
        <v>0</v>
      </c>
      <c r="S86" s="2">
        <f t="shared" si="14"/>
        <v>0</v>
      </c>
      <c r="T86" s="2">
        <f t="shared" si="15"/>
        <v>0</v>
      </c>
    </row>
    <row r="87" spans="1:31" ht="12" customHeight="1" x14ac:dyDescent="0.2">
      <c r="A87" s="121">
        <v>2009</v>
      </c>
      <c r="B87" s="90" t="s">
        <v>509</v>
      </c>
      <c r="C87" s="11" t="s">
        <v>510</v>
      </c>
      <c r="D87" s="60" t="s">
        <v>511</v>
      </c>
      <c r="E87" s="57">
        <v>0</v>
      </c>
      <c r="F87" s="94">
        <v>300</v>
      </c>
      <c r="G87" s="94"/>
      <c r="H87" s="94"/>
      <c r="I87" s="16">
        <v>12</v>
      </c>
      <c r="J87" s="64">
        <v>-12</v>
      </c>
      <c r="K87" s="64"/>
      <c r="L87" s="95">
        <f t="shared" si="22"/>
        <v>0</v>
      </c>
      <c r="M87" s="96"/>
      <c r="N87" s="94">
        <f t="shared" si="19"/>
        <v>0</v>
      </c>
      <c r="O87" s="63"/>
      <c r="P87" s="57">
        <v>0</v>
      </c>
      <c r="Q87" s="97">
        <f t="shared" si="23"/>
        <v>0</v>
      </c>
      <c r="R87" s="2">
        <f t="shared" si="13"/>
        <v>0</v>
      </c>
      <c r="S87" s="2">
        <f t="shared" si="14"/>
        <v>0</v>
      </c>
      <c r="T87" s="2">
        <f t="shared" si="15"/>
        <v>0</v>
      </c>
    </row>
    <row r="88" spans="1:31" ht="12" customHeight="1" x14ac:dyDescent="0.2">
      <c r="A88" s="122">
        <v>2009</v>
      </c>
      <c r="B88" s="90" t="s">
        <v>270</v>
      </c>
      <c r="C88" s="111" t="s">
        <v>143</v>
      </c>
      <c r="D88" s="61" t="s">
        <v>288</v>
      </c>
      <c r="E88" s="57">
        <v>30</v>
      </c>
      <c r="F88" s="94">
        <v>300</v>
      </c>
      <c r="G88" s="94"/>
      <c r="H88" s="94"/>
      <c r="I88" s="16">
        <v>-12</v>
      </c>
      <c r="J88" s="64"/>
      <c r="K88" s="64"/>
      <c r="L88" s="95">
        <f t="shared" si="22"/>
        <v>18</v>
      </c>
      <c r="M88" s="96"/>
      <c r="N88" s="94">
        <f t="shared" si="19"/>
        <v>18</v>
      </c>
      <c r="O88" s="63"/>
      <c r="P88" s="57">
        <v>18</v>
      </c>
      <c r="Q88" s="97">
        <f t="shared" si="23"/>
        <v>0</v>
      </c>
      <c r="R88" s="2">
        <f t="shared" si="13"/>
        <v>0</v>
      </c>
      <c r="S88" s="2">
        <f t="shared" si="14"/>
        <v>0</v>
      </c>
      <c r="T88" s="2">
        <f t="shared" si="15"/>
        <v>0</v>
      </c>
    </row>
    <row r="89" spans="1:31" ht="12" customHeight="1" x14ac:dyDescent="0.2">
      <c r="A89" s="136"/>
      <c r="B89" s="136"/>
      <c r="C89" s="137"/>
      <c r="D89" s="138"/>
      <c r="E89" s="68"/>
      <c r="F89" s="68"/>
      <c r="G89" s="68"/>
      <c r="H89" s="68"/>
      <c r="I89" s="68"/>
      <c r="J89" s="68"/>
      <c r="K89" s="68"/>
      <c r="L89" s="65"/>
      <c r="M89" s="68"/>
      <c r="N89" s="68"/>
      <c r="O89" s="68"/>
      <c r="P89" s="68"/>
      <c r="Q89" s="66"/>
      <c r="R89" s="2">
        <f t="shared" si="13"/>
        <v>0</v>
      </c>
      <c r="S89" s="2">
        <f t="shared" si="14"/>
        <v>0</v>
      </c>
      <c r="T89" s="2">
        <f t="shared" si="15"/>
        <v>0</v>
      </c>
    </row>
    <row r="90" spans="1:31" ht="12" customHeight="1" x14ac:dyDescent="0.2">
      <c r="A90" s="121">
        <v>2010</v>
      </c>
      <c r="B90" s="90" t="s">
        <v>336</v>
      </c>
      <c r="C90" s="11" t="s">
        <v>169</v>
      </c>
      <c r="D90" s="60" t="s">
        <v>383</v>
      </c>
      <c r="E90" s="79">
        <v>5</v>
      </c>
      <c r="F90" s="94">
        <v>75</v>
      </c>
      <c r="G90" s="94"/>
      <c r="H90" s="94"/>
      <c r="I90" s="16"/>
      <c r="J90" s="64"/>
      <c r="K90" s="64"/>
      <c r="L90" s="95">
        <f t="shared" si="22"/>
        <v>5</v>
      </c>
      <c r="M90" s="96"/>
      <c r="N90" s="94">
        <f>+L90-M90</f>
        <v>5</v>
      </c>
      <c r="O90" s="64"/>
      <c r="P90" s="57">
        <v>5</v>
      </c>
      <c r="Q90" s="97">
        <f t="shared" ref="Q90:Q105" si="24">+L90+O90-P90</f>
        <v>0</v>
      </c>
      <c r="R90" s="2">
        <f t="shared" si="13"/>
        <v>0</v>
      </c>
      <c r="S90" s="2">
        <f t="shared" si="14"/>
        <v>0</v>
      </c>
      <c r="T90" s="2">
        <f t="shared" si="15"/>
        <v>0</v>
      </c>
    </row>
    <row r="91" spans="1:31" ht="12" customHeight="1" x14ac:dyDescent="0.2">
      <c r="A91" s="122">
        <v>2010</v>
      </c>
      <c r="B91" s="90" t="s">
        <v>184</v>
      </c>
      <c r="C91" s="111" t="s">
        <v>146</v>
      </c>
      <c r="D91" s="61" t="s">
        <v>334</v>
      </c>
      <c r="E91" s="57">
        <v>0</v>
      </c>
      <c r="F91" s="94">
        <v>75</v>
      </c>
      <c r="G91" s="94"/>
      <c r="H91" s="94"/>
      <c r="I91" s="16"/>
      <c r="J91" s="64"/>
      <c r="K91" s="63"/>
      <c r="L91" s="95">
        <f t="shared" si="22"/>
        <v>0</v>
      </c>
      <c r="M91" s="96"/>
      <c r="N91" s="94">
        <f t="shared" ref="N91:N105" si="25">+L91-M91</f>
        <v>0</v>
      </c>
      <c r="O91" s="63"/>
      <c r="P91" s="57">
        <v>0</v>
      </c>
      <c r="Q91" s="97">
        <f t="shared" si="24"/>
        <v>0</v>
      </c>
      <c r="R91" s="2">
        <f t="shared" si="13"/>
        <v>0</v>
      </c>
      <c r="S91" s="2">
        <f t="shared" si="14"/>
        <v>0</v>
      </c>
      <c r="T91" s="2">
        <f t="shared" si="15"/>
        <v>0</v>
      </c>
    </row>
    <row r="92" spans="1:31" s="129" customFormat="1" ht="12" customHeight="1" x14ac:dyDescent="0.2">
      <c r="A92" s="121">
        <v>2010</v>
      </c>
      <c r="B92" s="115" t="s">
        <v>333</v>
      </c>
      <c r="C92" s="11" t="s">
        <v>148</v>
      </c>
      <c r="D92" s="60" t="s">
        <v>107</v>
      </c>
      <c r="E92" s="79">
        <v>0</v>
      </c>
      <c r="F92" s="94">
        <v>75</v>
      </c>
      <c r="G92" s="94"/>
      <c r="H92" s="94"/>
      <c r="I92" s="16"/>
      <c r="J92" s="64"/>
      <c r="K92" s="64"/>
      <c r="L92" s="95">
        <f t="shared" si="22"/>
        <v>0</v>
      </c>
      <c r="M92" s="96"/>
      <c r="N92" s="94">
        <f t="shared" si="25"/>
        <v>0</v>
      </c>
      <c r="O92" s="64"/>
      <c r="P92" s="57">
        <v>0</v>
      </c>
      <c r="Q92" s="97">
        <f t="shared" si="24"/>
        <v>0</v>
      </c>
      <c r="R92" s="2">
        <f t="shared" si="13"/>
        <v>0</v>
      </c>
      <c r="S92" s="2">
        <f t="shared" si="14"/>
        <v>0</v>
      </c>
      <c r="T92" s="2">
        <f t="shared" si="15"/>
        <v>0</v>
      </c>
      <c r="U92" s="128"/>
      <c r="V92" s="128"/>
      <c r="W92" s="128"/>
      <c r="X92" s="128"/>
      <c r="Y92" s="128"/>
      <c r="Z92" s="128"/>
      <c r="AA92" s="128"/>
      <c r="AB92" s="128"/>
      <c r="AC92" s="128"/>
      <c r="AD92" s="128"/>
      <c r="AE92" s="128"/>
    </row>
    <row r="93" spans="1:31" s="129" customFormat="1" ht="12" customHeight="1" x14ac:dyDescent="0.2">
      <c r="A93" s="121">
        <v>2010</v>
      </c>
      <c r="B93" s="115" t="s">
        <v>335</v>
      </c>
      <c r="C93" s="11" t="s">
        <v>147</v>
      </c>
      <c r="D93" s="60" t="s">
        <v>382</v>
      </c>
      <c r="E93" s="79">
        <v>0</v>
      </c>
      <c r="F93" s="94">
        <v>75</v>
      </c>
      <c r="G93" s="94"/>
      <c r="H93" s="94"/>
      <c r="I93" s="16"/>
      <c r="J93" s="64">
        <v>-1</v>
      </c>
      <c r="K93" s="64"/>
      <c r="L93" s="95">
        <f t="shared" si="22"/>
        <v>-1</v>
      </c>
      <c r="M93" s="96"/>
      <c r="N93" s="94">
        <f t="shared" si="25"/>
        <v>-1</v>
      </c>
      <c r="O93" s="64"/>
      <c r="P93" s="57">
        <v>0</v>
      </c>
      <c r="Q93" s="97">
        <f t="shared" si="24"/>
        <v>-1</v>
      </c>
      <c r="R93" s="2">
        <f t="shared" si="13"/>
        <v>0</v>
      </c>
      <c r="S93" s="2">
        <f t="shared" si="14"/>
        <v>0</v>
      </c>
      <c r="T93" s="2">
        <f t="shared" si="15"/>
        <v>0</v>
      </c>
      <c r="U93" s="128"/>
      <c r="V93" s="128"/>
      <c r="W93" s="128"/>
      <c r="X93" s="128"/>
      <c r="Y93" s="128"/>
      <c r="Z93" s="128"/>
      <c r="AA93" s="128"/>
      <c r="AB93" s="128"/>
      <c r="AC93" s="128"/>
      <c r="AD93" s="128"/>
      <c r="AE93" s="128"/>
    </row>
    <row r="94" spans="1:31" ht="12" customHeight="1" x14ac:dyDescent="0.2">
      <c r="A94" s="122">
        <v>2010</v>
      </c>
      <c r="B94" s="90" t="s">
        <v>182</v>
      </c>
      <c r="C94" s="111" t="s">
        <v>150</v>
      </c>
      <c r="D94" s="61" t="s">
        <v>309</v>
      </c>
      <c r="E94" s="57">
        <v>59618</v>
      </c>
      <c r="F94" s="94">
        <v>75</v>
      </c>
      <c r="G94" s="94"/>
      <c r="H94" s="94"/>
      <c r="I94" s="16">
        <f>-622-9-2-1-2-6-1-1855-1-1280-2400-1200-4</f>
        <v>-7383</v>
      </c>
      <c r="J94" s="64"/>
      <c r="K94" s="63">
        <v>-100</v>
      </c>
      <c r="L94" s="95">
        <f t="shared" si="22"/>
        <v>52135</v>
      </c>
      <c r="M94" s="96"/>
      <c r="N94" s="94">
        <f t="shared" si="25"/>
        <v>52135</v>
      </c>
      <c r="O94" s="63"/>
      <c r="P94" s="57">
        <v>52098</v>
      </c>
      <c r="Q94" s="97">
        <f t="shared" si="24"/>
        <v>37</v>
      </c>
      <c r="R94" s="2">
        <f t="shared" si="13"/>
        <v>0</v>
      </c>
      <c r="S94" s="2">
        <f t="shared" si="14"/>
        <v>0</v>
      </c>
      <c r="T94" s="2">
        <f t="shared" si="15"/>
        <v>0</v>
      </c>
    </row>
    <row r="95" spans="1:31" ht="12" customHeight="1" x14ac:dyDescent="0.2">
      <c r="A95" s="122">
        <v>2010</v>
      </c>
      <c r="B95" s="90" t="s">
        <v>337</v>
      </c>
      <c r="C95" s="54" t="s">
        <v>174</v>
      </c>
      <c r="D95" s="61" t="s">
        <v>384</v>
      </c>
      <c r="E95" s="79">
        <v>96</v>
      </c>
      <c r="F95" s="94">
        <v>75</v>
      </c>
      <c r="G95" s="94"/>
      <c r="H95" s="94"/>
      <c r="I95" s="16">
        <f>1+8+3+4+1+3+600+2+1+2+1+1280+2400+1200</f>
        <v>5506</v>
      </c>
      <c r="J95" s="64">
        <v>-4473</v>
      </c>
      <c r="K95" s="63">
        <v>100</v>
      </c>
      <c r="L95" s="95">
        <f t="shared" si="22"/>
        <v>1229</v>
      </c>
      <c r="M95" s="96"/>
      <c r="N95" s="94">
        <f t="shared" si="25"/>
        <v>1229</v>
      </c>
      <c r="O95" s="64"/>
      <c r="P95" s="57">
        <v>1229</v>
      </c>
      <c r="Q95" s="97">
        <f t="shared" si="24"/>
        <v>0</v>
      </c>
      <c r="R95" s="2">
        <f t="shared" si="13"/>
        <v>0</v>
      </c>
      <c r="S95" s="2">
        <f t="shared" si="14"/>
        <v>0</v>
      </c>
      <c r="T95" s="2">
        <f t="shared" si="15"/>
        <v>0</v>
      </c>
    </row>
    <row r="96" spans="1:31" ht="12" customHeight="1" x14ac:dyDescent="0.2">
      <c r="A96" s="121">
        <v>2010</v>
      </c>
      <c r="B96" s="115" t="s">
        <v>339</v>
      </c>
      <c r="C96" s="53" t="s">
        <v>313</v>
      </c>
      <c r="D96" s="60" t="s">
        <v>252</v>
      </c>
      <c r="E96" s="79">
        <v>0</v>
      </c>
      <c r="F96" s="94">
        <v>75</v>
      </c>
      <c r="G96" s="94"/>
      <c r="H96" s="94"/>
      <c r="I96" s="16">
        <f>8+1+6+1+1854</f>
        <v>1870</v>
      </c>
      <c r="J96" s="64">
        <v>-1869</v>
      </c>
      <c r="K96" s="64"/>
      <c r="L96" s="95">
        <f t="shared" si="22"/>
        <v>1</v>
      </c>
      <c r="M96" s="96"/>
      <c r="N96" s="94">
        <f t="shared" si="25"/>
        <v>1</v>
      </c>
      <c r="O96" s="64"/>
      <c r="P96" s="57">
        <v>0</v>
      </c>
      <c r="Q96" s="97">
        <f t="shared" si="24"/>
        <v>1</v>
      </c>
      <c r="R96" s="2">
        <f t="shared" si="13"/>
        <v>0</v>
      </c>
      <c r="S96" s="2">
        <f t="shared" si="14"/>
        <v>0</v>
      </c>
      <c r="T96" s="2">
        <f t="shared" si="15"/>
        <v>0</v>
      </c>
    </row>
    <row r="97" spans="1:33" ht="12" customHeight="1" x14ac:dyDescent="0.2">
      <c r="A97" s="121">
        <v>2010</v>
      </c>
      <c r="B97" s="115" t="s">
        <v>227</v>
      </c>
      <c r="C97" s="53" t="s">
        <v>173</v>
      </c>
      <c r="D97" s="60" t="s">
        <v>307</v>
      </c>
      <c r="E97" s="79">
        <v>0</v>
      </c>
      <c r="F97" s="94">
        <v>75</v>
      </c>
      <c r="G97" s="94"/>
      <c r="H97" s="94"/>
      <c r="I97" s="16">
        <f>2+1+4</f>
        <v>7</v>
      </c>
      <c r="J97" s="64">
        <v>-5</v>
      </c>
      <c r="K97" s="64"/>
      <c r="L97" s="95">
        <f t="shared" si="22"/>
        <v>2</v>
      </c>
      <c r="M97" s="96"/>
      <c r="N97" s="94">
        <f t="shared" si="25"/>
        <v>2</v>
      </c>
      <c r="O97" s="64"/>
      <c r="P97" s="57">
        <v>0</v>
      </c>
      <c r="Q97" s="97">
        <f t="shared" si="24"/>
        <v>2</v>
      </c>
      <c r="R97" s="2">
        <f t="shared" si="13"/>
        <v>0</v>
      </c>
      <c r="S97" s="2">
        <f t="shared" si="14"/>
        <v>0</v>
      </c>
      <c r="T97" s="2">
        <f t="shared" si="15"/>
        <v>0</v>
      </c>
    </row>
    <row r="98" spans="1:33" ht="12" customHeight="1" x14ac:dyDescent="0.2">
      <c r="A98" s="122">
        <v>2010</v>
      </c>
      <c r="B98" s="90" t="s">
        <v>268</v>
      </c>
      <c r="C98" s="111" t="s">
        <v>149</v>
      </c>
      <c r="D98" s="61" t="s">
        <v>308</v>
      </c>
      <c r="E98" s="79">
        <v>150</v>
      </c>
      <c r="F98" s="94">
        <v>150</v>
      </c>
      <c r="G98" s="94"/>
      <c r="H98" s="94"/>
      <c r="I98" s="16"/>
      <c r="J98" s="64"/>
      <c r="K98" s="63"/>
      <c r="L98" s="95">
        <f t="shared" si="22"/>
        <v>150</v>
      </c>
      <c r="M98" s="96"/>
      <c r="N98" s="94">
        <f t="shared" si="25"/>
        <v>150</v>
      </c>
      <c r="O98" s="63"/>
      <c r="P98" s="57">
        <v>150</v>
      </c>
      <c r="Q98" s="97">
        <f t="shared" si="24"/>
        <v>0</v>
      </c>
      <c r="R98" s="2">
        <f t="shared" si="13"/>
        <v>0</v>
      </c>
      <c r="S98" s="2">
        <f t="shared" si="14"/>
        <v>0</v>
      </c>
      <c r="T98" s="2">
        <f t="shared" si="15"/>
        <v>0</v>
      </c>
    </row>
    <row r="99" spans="1:33" ht="12" customHeight="1" x14ac:dyDescent="0.2">
      <c r="A99" s="122">
        <v>2010</v>
      </c>
      <c r="B99" s="90" t="s">
        <v>183</v>
      </c>
      <c r="C99" s="111" t="s">
        <v>151</v>
      </c>
      <c r="D99" s="61" t="s">
        <v>310</v>
      </c>
      <c r="E99" s="57">
        <v>18600</v>
      </c>
      <c r="F99" s="94">
        <v>75</v>
      </c>
      <c r="G99" s="94"/>
      <c r="H99" s="94"/>
      <c r="I99" s="16">
        <f>-8442-3-12-2-2-6-49-1-1-311-12-1-4</f>
        <v>-8846</v>
      </c>
      <c r="J99" s="64"/>
      <c r="K99" s="63">
        <v>-89</v>
      </c>
      <c r="L99" s="95">
        <f t="shared" si="22"/>
        <v>9665</v>
      </c>
      <c r="M99" s="96"/>
      <c r="N99" s="94">
        <f t="shared" si="25"/>
        <v>9665</v>
      </c>
      <c r="O99" s="63"/>
      <c r="P99" s="57">
        <v>9594</v>
      </c>
      <c r="Q99" s="97">
        <f t="shared" si="24"/>
        <v>71</v>
      </c>
      <c r="R99" s="2">
        <f t="shared" si="13"/>
        <v>0</v>
      </c>
      <c r="S99" s="2">
        <f t="shared" si="14"/>
        <v>0</v>
      </c>
      <c r="T99" s="2">
        <f t="shared" si="15"/>
        <v>0</v>
      </c>
    </row>
    <row r="100" spans="1:33" ht="12" customHeight="1" x14ac:dyDescent="0.2">
      <c r="A100" s="121">
        <v>2010</v>
      </c>
      <c r="B100" s="115" t="s">
        <v>233</v>
      </c>
      <c r="C100" s="53" t="s">
        <v>175</v>
      </c>
      <c r="D100" s="60" t="s">
        <v>385</v>
      </c>
      <c r="E100" s="79">
        <v>2689</v>
      </c>
      <c r="F100" s="94">
        <v>75</v>
      </c>
      <c r="G100" s="94"/>
      <c r="H100" s="94"/>
      <c r="I100" s="16">
        <f>1+2+2+2+4+600+912+308+2+2+3+4+138+3114+3348+3+2+6+49+1+1+311+12</f>
        <v>8827</v>
      </c>
      <c r="J100" s="64">
        <v>-9797</v>
      </c>
      <c r="K100" s="64">
        <v>89</v>
      </c>
      <c r="L100" s="95">
        <f t="shared" si="22"/>
        <v>1808</v>
      </c>
      <c r="M100" s="96"/>
      <c r="N100" s="94">
        <f t="shared" si="25"/>
        <v>1808</v>
      </c>
      <c r="O100" s="64"/>
      <c r="P100" s="57">
        <v>1808</v>
      </c>
      <c r="Q100" s="97">
        <f t="shared" si="24"/>
        <v>0</v>
      </c>
      <c r="R100" s="2">
        <f t="shared" si="13"/>
        <v>0</v>
      </c>
      <c r="S100" s="2">
        <f t="shared" si="14"/>
        <v>0</v>
      </c>
      <c r="T100" s="2">
        <f t="shared" si="15"/>
        <v>0</v>
      </c>
    </row>
    <row r="101" spans="1:33" ht="12" customHeight="1" x14ac:dyDescent="0.2">
      <c r="A101" s="121">
        <v>2010</v>
      </c>
      <c r="B101" s="115" t="s">
        <v>234</v>
      </c>
      <c r="C101" s="53" t="s">
        <v>235</v>
      </c>
      <c r="D101" s="60" t="s">
        <v>251</v>
      </c>
      <c r="E101" s="79">
        <v>0</v>
      </c>
      <c r="F101" s="94">
        <v>75</v>
      </c>
      <c r="G101" s="94"/>
      <c r="H101" s="94"/>
      <c r="I101" s="16">
        <f>2+4</f>
        <v>6</v>
      </c>
      <c r="J101" s="64">
        <v>-3</v>
      </c>
      <c r="K101" s="64"/>
      <c r="L101" s="95">
        <f t="shared" si="22"/>
        <v>3</v>
      </c>
      <c r="M101" s="96"/>
      <c r="N101" s="94">
        <f t="shared" si="25"/>
        <v>3</v>
      </c>
      <c r="O101" s="64"/>
      <c r="P101" s="57">
        <v>0</v>
      </c>
      <c r="Q101" s="97">
        <f t="shared" si="24"/>
        <v>3</v>
      </c>
      <c r="R101" s="2">
        <f t="shared" si="13"/>
        <v>0</v>
      </c>
      <c r="S101" s="2">
        <f t="shared" si="14"/>
        <v>0</v>
      </c>
      <c r="T101" s="2">
        <f t="shared" si="15"/>
        <v>0</v>
      </c>
    </row>
    <row r="102" spans="1:33" ht="12" customHeight="1" x14ac:dyDescent="0.2">
      <c r="A102" s="121">
        <v>2010</v>
      </c>
      <c r="B102" s="115" t="s">
        <v>417</v>
      </c>
      <c r="C102" s="53" t="s">
        <v>465</v>
      </c>
      <c r="D102" s="60" t="s">
        <v>418</v>
      </c>
      <c r="E102" s="57"/>
      <c r="F102" s="94">
        <v>75</v>
      </c>
      <c r="G102" s="94"/>
      <c r="H102" s="94"/>
      <c r="I102" s="16">
        <f>2+1+1+2+6+1</f>
        <v>13</v>
      </c>
      <c r="J102" s="64">
        <v>-9</v>
      </c>
      <c r="K102" s="64"/>
      <c r="L102" s="95">
        <f t="shared" si="22"/>
        <v>4</v>
      </c>
      <c r="M102" s="96"/>
      <c r="N102" s="94">
        <f t="shared" si="25"/>
        <v>4</v>
      </c>
      <c r="O102" s="64"/>
      <c r="P102" s="57">
        <v>0</v>
      </c>
      <c r="Q102" s="97">
        <f t="shared" si="24"/>
        <v>4</v>
      </c>
      <c r="R102" s="2">
        <f t="shared" si="13"/>
        <v>0</v>
      </c>
      <c r="S102" s="2">
        <f t="shared" si="14"/>
        <v>0</v>
      </c>
      <c r="T102" s="2">
        <f t="shared" si="15"/>
        <v>0</v>
      </c>
    </row>
    <row r="103" spans="1:33" ht="12" customHeight="1" x14ac:dyDescent="0.2">
      <c r="A103" s="122">
        <v>2010</v>
      </c>
      <c r="B103" s="90" t="s">
        <v>269</v>
      </c>
      <c r="C103" s="111" t="s">
        <v>152</v>
      </c>
      <c r="D103" s="61" t="s">
        <v>311</v>
      </c>
      <c r="E103" s="57">
        <v>147</v>
      </c>
      <c r="F103" s="94">
        <v>150</v>
      </c>
      <c r="G103" s="94"/>
      <c r="H103" s="94"/>
      <c r="I103" s="16">
        <v>-146</v>
      </c>
      <c r="J103" s="64"/>
      <c r="K103" s="63"/>
      <c r="L103" s="95">
        <f t="shared" si="22"/>
        <v>1</v>
      </c>
      <c r="M103" s="96"/>
      <c r="N103" s="94">
        <f t="shared" si="25"/>
        <v>1</v>
      </c>
      <c r="O103" s="63"/>
      <c r="P103" s="57">
        <v>0</v>
      </c>
      <c r="Q103" s="97">
        <f t="shared" si="24"/>
        <v>1</v>
      </c>
      <c r="R103" s="2">
        <f t="shared" si="13"/>
        <v>0</v>
      </c>
      <c r="S103" s="2">
        <f t="shared" si="14"/>
        <v>0</v>
      </c>
      <c r="T103" s="2">
        <f t="shared" si="15"/>
        <v>0</v>
      </c>
    </row>
    <row r="104" spans="1:33" ht="12" customHeight="1" x14ac:dyDescent="0.2">
      <c r="A104" s="121">
        <v>2010</v>
      </c>
      <c r="B104" s="115" t="s">
        <v>338</v>
      </c>
      <c r="C104" s="53" t="s">
        <v>362</v>
      </c>
      <c r="D104" s="60" t="s">
        <v>386</v>
      </c>
      <c r="E104" s="79">
        <v>0</v>
      </c>
      <c r="F104" s="94">
        <v>150</v>
      </c>
      <c r="G104" s="94"/>
      <c r="H104" s="94"/>
      <c r="I104" s="16">
        <v>146</v>
      </c>
      <c r="J104" s="64">
        <v>-139</v>
      </c>
      <c r="K104" s="64"/>
      <c r="L104" s="95">
        <f t="shared" si="22"/>
        <v>7</v>
      </c>
      <c r="M104" s="96"/>
      <c r="N104" s="94">
        <f t="shared" si="25"/>
        <v>7</v>
      </c>
      <c r="O104" s="64"/>
      <c r="P104" s="57">
        <v>6</v>
      </c>
      <c r="Q104" s="97">
        <f t="shared" si="24"/>
        <v>1</v>
      </c>
      <c r="R104" s="2">
        <f t="shared" si="13"/>
        <v>0</v>
      </c>
      <c r="S104" s="2">
        <f t="shared" si="14"/>
        <v>0</v>
      </c>
      <c r="T104" s="2">
        <f t="shared" si="15"/>
        <v>0</v>
      </c>
    </row>
    <row r="105" spans="1:33" ht="12" customHeight="1" x14ac:dyDescent="0.2">
      <c r="A105" s="122">
        <v>2010</v>
      </c>
      <c r="B105" s="90" t="s">
        <v>270</v>
      </c>
      <c r="C105" s="111" t="s">
        <v>153</v>
      </c>
      <c r="D105" s="61" t="s">
        <v>312</v>
      </c>
      <c r="E105" s="57">
        <v>30</v>
      </c>
      <c r="F105" s="94">
        <v>300</v>
      </c>
      <c r="G105" s="94"/>
      <c r="H105" s="94"/>
      <c r="I105" s="16"/>
      <c r="J105" s="64">
        <v>-2</v>
      </c>
      <c r="K105" s="63"/>
      <c r="L105" s="95">
        <f t="shared" si="22"/>
        <v>28</v>
      </c>
      <c r="M105" s="96"/>
      <c r="N105" s="94">
        <f t="shared" si="25"/>
        <v>28</v>
      </c>
      <c r="O105" s="63"/>
      <c r="P105" s="57">
        <v>28</v>
      </c>
      <c r="Q105" s="97">
        <f t="shared" si="24"/>
        <v>0</v>
      </c>
      <c r="R105" s="2">
        <f t="shared" ref="R105:R178" si="26">IF(F105=75,H105,)</f>
        <v>0</v>
      </c>
      <c r="S105" s="2">
        <f t="shared" ref="S105:S178" si="27">IF(F105=150,H105,)</f>
        <v>0</v>
      </c>
      <c r="T105" s="2">
        <f t="shared" ref="T105:T178" si="28">IF(F105=300,H105,)</f>
        <v>0</v>
      </c>
    </row>
    <row r="106" spans="1:33" ht="12" customHeight="1" x14ac:dyDescent="0.2">
      <c r="A106" s="139"/>
      <c r="B106" s="139"/>
      <c r="C106" s="69"/>
      <c r="D106" s="140"/>
      <c r="E106" s="68"/>
      <c r="F106" s="69"/>
      <c r="G106" s="69"/>
      <c r="H106" s="69"/>
      <c r="I106" s="69"/>
      <c r="J106" s="69"/>
      <c r="K106" s="69"/>
      <c r="L106" s="65"/>
      <c r="M106" s="69"/>
      <c r="N106" s="69"/>
      <c r="O106" s="69"/>
      <c r="P106" s="68"/>
      <c r="Q106" s="66"/>
      <c r="R106" s="2">
        <f t="shared" si="26"/>
        <v>0</v>
      </c>
      <c r="S106" s="2">
        <f t="shared" si="27"/>
        <v>0</v>
      </c>
      <c r="T106" s="2">
        <f t="shared" si="28"/>
        <v>0</v>
      </c>
    </row>
    <row r="107" spans="1:33" s="141" customFormat="1" ht="12" customHeight="1" x14ac:dyDescent="0.2">
      <c r="A107" s="121">
        <v>2011</v>
      </c>
      <c r="B107" s="121" t="s">
        <v>184</v>
      </c>
      <c r="C107" s="11" t="s">
        <v>155</v>
      </c>
      <c r="D107" s="60" t="s">
        <v>273</v>
      </c>
      <c r="E107" s="57">
        <v>49200</v>
      </c>
      <c r="F107" s="94">
        <v>75</v>
      </c>
      <c r="G107" s="94"/>
      <c r="H107" s="94"/>
      <c r="I107" s="16">
        <f>-10978-8082-372-2400-1207-600-600-3-4200-3795-1050-3600-3558+12-900-1200-3-1-300</f>
        <v>-42837</v>
      </c>
      <c r="J107" s="64"/>
      <c r="K107" s="64">
        <f>-4525-1838</f>
        <v>-6363</v>
      </c>
      <c r="L107" s="95">
        <f t="shared" si="22"/>
        <v>0</v>
      </c>
      <c r="M107" s="96"/>
      <c r="N107" s="94">
        <f t="shared" si="19"/>
        <v>0</v>
      </c>
      <c r="O107" s="64"/>
      <c r="P107" s="57">
        <v>0</v>
      </c>
      <c r="Q107" s="97">
        <f t="shared" ref="Q107:Q124" si="29">+L107+O107-P107</f>
        <v>0</v>
      </c>
      <c r="R107" s="2">
        <f t="shared" si="26"/>
        <v>0</v>
      </c>
      <c r="S107" s="2">
        <f t="shared" si="27"/>
        <v>0</v>
      </c>
      <c r="T107" s="2">
        <f t="shared" si="28"/>
        <v>0</v>
      </c>
      <c r="U107" s="128"/>
      <c r="V107" s="128"/>
      <c r="W107" s="128"/>
      <c r="X107" s="128"/>
      <c r="Y107" s="128"/>
      <c r="Z107" s="128"/>
      <c r="AA107" s="128"/>
      <c r="AB107" s="128"/>
      <c r="AC107" s="128"/>
      <c r="AD107" s="128"/>
      <c r="AE107" s="128"/>
      <c r="AF107" s="128"/>
      <c r="AG107" s="128"/>
    </row>
    <row r="108" spans="1:33" s="141" customFormat="1" ht="12" customHeight="1" x14ac:dyDescent="0.2">
      <c r="A108" s="121">
        <v>2011</v>
      </c>
      <c r="B108" s="115" t="s">
        <v>275</v>
      </c>
      <c r="C108" s="11" t="s">
        <v>158</v>
      </c>
      <c r="D108" s="60" t="s">
        <v>387</v>
      </c>
      <c r="E108" s="57">
        <v>1996</v>
      </c>
      <c r="F108" s="94">
        <v>75</v>
      </c>
      <c r="G108" s="94"/>
      <c r="H108" s="94"/>
      <c r="I108" s="16">
        <f>1164+198+2466+1545+360+2738+252+359+630+568+698+372+2400+1207+600+600+3+4200+3795+1050+3600+3558</f>
        <v>32363</v>
      </c>
      <c r="J108" s="64">
        <v>-38882</v>
      </c>
      <c r="K108" s="64">
        <v>4525</v>
      </c>
      <c r="L108" s="95">
        <f t="shared" si="22"/>
        <v>2</v>
      </c>
      <c r="M108" s="96"/>
      <c r="N108" s="94">
        <f>+L108-M108</f>
        <v>2</v>
      </c>
      <c r="O108" s="64">
        <v>89</v>
      </c>
      <c r="P108" s="57">
        <f>2+89</f>
        <v>91</v>
      </c>
      <c r="Q108" s="97">
        <f t="shared" si="29"/>
        <v>0</v>
      </c>
      <c r="R108" s="2">
        <f t="shared" si="26"/>
        <v>0</v>
      </c>
      <c r="S108" s="2">
        <f t="shared" si="27"/>
        <v>0</v>
      </c>
      <c r="T108" s="2">
        <f t="shared" si="28"/>
        <v>0</v>
      </c>
      <c r="U108" s="128"/>
      <c r="V108" s="128"/>
      <c r="W108" s="128"/>
      <c r="X108" s="128"/>
      <c r="Y108" s="128"/>
      <c r="Z108" s="128"/>
      <c r="AA108" s="128"/>
      <c r="AB108" s="128"/>
      <c r="AC108" s="128"/>
      <c r="AD108" s="128"/>
      <c r="AE108" s="128"/>
      <c r="AF108" s="128"/>
      <c r="AG108" s="128"/>
    </row>
    <row r="109" spans="1:33" s="141" customFormat="1" ht="12" customHeight="1" x14ac:dyDescent="0.2">
      <c r="A109" s="121">
        <v>2011</v>
      </c>
      <c r="B109" s="115" t="s">
        <v>274</v>
      </c>
      <c r="C109" s="11" t="s">
        <v>156</v>
      </c>
      <c r="D109" s="60" t="s">
        <v>157</v>
      </c>
      <c r="E109" s="57">
        <v>302</v>
      </c>
      <c r="F109" s="94">
        <v>75</v>
      </c>
      <c r="G109" s="94"/>
      <c r="H109" s="94"/>
      <c r="I109" s="16">
        <f>2088+600+600+792+408+1200+1194+1200+900+1200+3+1+300+300</f>
        <v>10786</v>
      </c>
      <c r="J109" s="64">
        <v>-14052</v>
      </c>
      <c r="K109" s="64">
        <v>1838</v>
      </c>
      <c r="L109" s="95">
        <f t="shared" si="22"/>
        <v>-1126</v>
      </c>
      <c r="M109" s="96"/>
      <c r="N109" s="94">
        <f t="shared" si="19"/>
        <v>-1126</v>
      </c>
      <c r="O109" s="64">
        <f>836+290</f>
        <v>1126</v>
      </c>
      <c r="P109" s="57">
        <v>0</v>
      </c>
      <c r="Q109" s="97">
        <f t="shared" si="29"/>
        <v>0</v>
      </c>
      <c r="R109" s="2">
        <f t="shared" si="26"/>
        <v>0</v>
      </c>
      <c r="S109" s="2">
        <f t="shared" si="27"/>
        <v>0</v>
      </c>
      <c r="T109" s="2">
        <f t="shared" si="28"/>
        <v>0</v>
      </c>
      <c r="U109" s="128"/>
      <c r="V109" s="128"/>
      <c r="W109" s="128"/>
      <c r="X109" s="128"/>
      <c r="Y109" s="128"/>
      <c r="Z109" s="128"/>
      <c r="AA109" s="128"/>
      <c r="AB109" s="128"/>
      <c r="AC109" s="128"/>
      <c r="AD109" s="128"/>
      <c r="AE109" s="128"/>
      <c r="AF109" s="128"/>
      <c r="AG109" s="128"/>
    </row>
    <row r="110" spans="1:33" s="141" customFormat="1" ht="12" customHeight="1" x14ac:dyDescent="0.2">
      <c r="A110" s="121">
        <v>2011</v>
      </c>
      <c r="B110" s="115" t="s">
        <v>276</v>
      </c>
      <c r="C110" s="11" t="s">
        <v>172</v>
      </c>
      <c r="D110" s="60" t="s">
        <v>404</v>
      </c>
      <c r="E110" s="57">
        <v>317</v>
      </c>
      <c r="F110" s="94">
        <v>75</v>
      </c>
      <c r="G110" s="94"/>
      <c r="H110" s="94"/>
      <c r="I110" s="16">
        <f>-12-300-1</f>
        <v>-313</v>
      </c>
      <c r="J110" s="64">
        <v>-4</v>
      </c>
      <c r="K110" s="64"/>
      <c r="L110" s="95">
        <f t="shared" si="22"/>
        <v>0</v>
      </c>
      <c r="M110" s="96"/>
      <c r="N110" s="94">
        <f t="shared" si="19"/>
        <v>0</v>
      </c>
      <c r="O110" s="64"/>
      <c r="P110" s="57">
        <v>0</v>
      </c>
      <c r="Q110" s="97">
        <f t="shared" si="29"/>
        <v>0</v>
      </c>
      <c r="R110" s="2">
        <f t="shared" si="26"/>
        <v>0</v>
      </c>
      <c r="S110" s="2">
        <f t="shared" si="27"/>
        <v>0</v>
      </c>
      <c r="T110" s="2">
        <f t="shared" si="28"/>
        <v>0</v>
      </c>
      <c r="U110" s="128"/>
      <c r="V110" s="128"/>
      <c r="W110" s="128"/>
      <c r="X110" s="128"/>
      <c r="Y110" s="128"/>
      <c r="Z110" s="128"/>
      <c r="AA110" s="128"/>
      <c r="AB110" s="128"/>
      <c r="AC110" s="128"/>
      <c r="AD110" s="128"/>
      <c r="AE110" s="128"/>
      <c r="AF110" s="128"/>
      <c r="AG110" s="128"/>
    </row>
    <row r="111" spans="1:33" s="141" customFormat="1" ht="12" customHeight="1" x14ac:dyDescent="0.2">
      <c r="A111" s="121">
        <v>2011</v>
      </c>
      <c r="B111" s="115" t="s">
        <v>182</v>
      </c>
      <c r="C111" s="11" t="s">
        <v>159</v>
      </c>
      <c r="D111" s="60" t="s">
        <v>390</v>
      </c>
      <c r="E111" s="57">
        <v>112561</v>
      </c>
      <c r="F111" s="94">
        <v>75</v>
      </c>
      <c r="G111" s="94"/>
      <c r="H111" s="94"/>
      <c r="I111" s="16">
        <f>-10-1-2-4-1-2-615-1</f>
        <v>-636</v>
      </c>
      <c r="J111" s="64"/>
      <c r="K111" s="64"/>
      <c r="L111" s="95">
        <f t="shared" si="22"/>
        <v>111925</v>
      </c>
      <c r="M111" s="96"/>
      <c r="N111" s="94">
        <f>+L111-M111</f>
        <v>111925</v>
      </c>
      <c r="O111" s="64">
        <v>-836</v>
      </c>
      <c r="P111" s="57">
        <v>111089</v>
      </c>
      <c r="Q111" s="97">
        <f t="shared" si="29"/>
        <v>0</v>
      </c>
      <c r="R111" s="2">
        <f t="shared" si="26"/>
        <v>0</v>
      </c>
      <c r="S111" s="2">
        <f t="shared" si="27"/>
        <v>0</v>
      </c>
      <c r="T111" s="2">
        <f t="shared" si="28"/>
        <v>0</v>
      </c>
      <c r="U111" s="128"/>
      <c r="V111" s="128"/>
      <c r="W111" s="128"/>
      <c r="X111" s="128"/>
      <c r="Y111" s="128"/>
      <c r="Z111" s="128"/>
      <c r="AA111" s="128"/>
      <c r="AB111" s="128"/>
      <c r="AC111" s="128"/>
      <c r="AD111" s="128"/>
      <c r="AE111" s="128"/>
      <c r="AF111" s="128"/>
      <c r="AG111" s="128"/>
    </row>
    <row r="112" spans="1:33" s="141" customFormat="1" ht="12" customHeight="1" x14ac:dyDescent="0.2">
      <c r="A112" s="121">
        <v>2011</v>
      </c>
      <c r="B112" s="115" t="s">
        <v>228</v>
      </c>
      <c r="C112" s="11" t="s">
        <v>176</v>
      </c>
      <c r="D112" s="60" t="s">
        <v>388</v>
      </c>
      <c r="E112" s="57">
        <v>0</v>
      </c>
      <c r="F112" s="94">
        <v>75</v>
      </c>
      <c r="G112" s="94"/>
      <c r="H112" s="94"/>
      <c r="I112" s="16">
        <f>4+2+2+2+1+2+615</f>
        <v>628</v>
      </c>
      <c r="J112" s="64">
        <v>-128</v>
      </c>
      <c r="K112" s="64"/>
      <c r="L112" s="95">
        <f t="shared" si="22"/>
        <v>500</v>
      </c>
      <c r="M112" s="96"/>
      <c r="N112" s="94">
        <f t="shared" ref="N112:N124" si="30">+L112-M112</f>
        <v>500</v>
      </c>
      <c r="O112" s="64">
        <f>-290-89</f>
        <v>-379</v>
      </c>
      <c r="P112" s="57">
        <v>0</v>
      </c>
      <c r="Q112" s="97">
        <f t="shared" si="29"/>
        <v>121</v>
      </c>
      <c r="R112" s="2">
        <f t="shared" si="26"/>
        <v>0</v>
      </c>
      <c r="S112" s="2">
        <f t="shared" si="27"/>
        <v>0</v>
      </c>
      <c r="T112" s="2">
        <f t="shared" si="28"/>
        <v>0</v>
      </c>
      <c r="U112" s="128"/>
      <c r="V112" s="128"/>
      <c r="W112" s="128"/>
      <c r="X112" s="128"/>
      <c r="Y112" s="128"/>
      <c r="Z112" s="128"/>
      <c r="AA112" s="128"/>
      <c r="AB112" s="128"/>
      <c r="AC112" s="128"/>
      <c r="AD112" s="128"/>
      <c r="AE112" s="128"/>
      <c r="AF112" s="128"/>
      <c r="AG112" s="128"/>
    </row>
    <row r="113" spans="1:33" s="141" customFormat="1" ht="12" customHeight="1" x14ac:dyDescent="0.2">
      <c r="A113" s="121">
        <v>2011</v>
      </c>
      <c r="B113" s="115" t="s">
        <v>232</v>
      </c>
      <c r="C113" s="11" t="s">
        <v>187</v>
      </c>
      <c r="D113" s="60" t="s">
        <v>389</v>
      </c>
      <c r="E113" s="57">
        <v>0</v>
      </c>
      <c r="F113" s="94">
        <v>75</v>
      </c>
      <c r="G113" s="94"/>
      <c r="H113" s="94"/>
      <c r="I113" s="16">
        <f>1+2+1+3</f>
        <v>7</v>
      </c>
      <c r="J113" s="64">
        <v>-6</v>
      </c>
      <c r="K113" s="64"/>
      <c r="L113" s="95">
        <f t="shared" si="22"/>
        <v>1</v>
      </c>
      <c r="M113" s="96"/>
      <c r="N113" s="94">
        <f t="shared" si="30"/>
        <v>1</v>
      </c>
      <c r="O113" s="64"/>
      <c r="P113" s="57">
        <v>0</v>
      </c>
      <c r="Q113" s="97">
        <f t="shared" si="29"/>
        <v>1</v>
      </c>
      <c r="R113" s="2">
        <f t="shared" si="26"/>
        <v>0</v>
      </c>
      <c r="S113" s="2">
        <f t="shared" si="27"/>
        <v>0</v>
      </c>
      <c r="T113" s="2">
        <f t="shared" si="28"/>
        <v>0</v>
      </c>
      <c r="U113" s="128"/>
      <c r="V113" s="128"/>
      <c r="W113" s="128"/>
      <c r="X113" s="128"/>
      <c r="Y113" s="128"/>
      <c r="Z113" s="128"/>
      <c r="AA113" s="128"/>
      <c r="AB113" s="128"/>
      <c r="AC113" s="128"/>
      <c r="AD113" s="128"/>
      <c r="AE113" s="128"/>
      <c r="AF113" s="128"/>
      <c r="AG113" s="128"/>
    </row>
    <row r="114" spans="1:33" s="141" customFormat="1" ht="12" customHeight="1" x14ac:dyDescent="0.2">
      <c r="A114" s="121">
        <v>2011</v>
      </c>
      <c r="B114" s="115" t="s">
        <v>277</v>
      </c>
      <c r="C114" s="11" t="s">
        <v>224</v>
      </c>
      <c r="D114" s="60" t="s">
        <v>272</v>
      </c>
      <c r="E114" s="57">
        <v>0</v>
      </c>
      <c r="F114" s="94">
        <v>75</v>
      </c>
      <c r="G114" s="94"/>
      <c r="H114" s="94"/>
      <c r="I114" s="16">
        <v>11</v>
      </c>
      <c r="J114" s="64">
        <v>-2</v>
      </c>
      <c r="K114" s="64"/>
      <c r="L114" s="95">
        <f t="shared" si="22"/>
        <v>9</v>
      </c>
      <c r="M114" s="96"/>
      <c r="N114" s="94">
        <f t="shared" si="30"/>
        <v>9</v>
      </c>
      <c r="O114" s="64">
        <v>-9</v>
      </c>
      <c r="P114" s="57">
        <v>0</v>
      </c>
      <c r="Q114" s="97">
        <f t="shared" si="29"/>
        <v>0</v>
      </c>
      <c r="R114" s="2">
        <f t="shared" si="26"/>
        <v>0</v>
      </c>
      <c r="S114" s="2">
        <f t="shared" si="27"/>
        <v>0</v>
      </c>
      <c r="T114" s="2">
        <f t="shared" si="28"/>
        <v>0</v>
      </c>
      <c r="U114" s="128"/>
      <c r="V114" s="128"/>
      <c r="W114" s="128"/>
      <c r="X114" s="128"/>
      <c r="Y114" s="128"/>
      <c r="Z114" s="128"/>
      <c r="AA114" s="128"/>
      <c r="AB114" s="128"/>
      <c r="AC114" s="128"/>
      <c r="AD114" s="128"/>
      <c r="AE114" s="128"/>
      <c r="AF114" s="128"/>
      <c r="AG114" s="128"/>
    </row>
    <row r="115" spans="1:33" s="141" customFormat="1" ht="12" customHeight="1" x14ac:dyDescent="0.2">
      <c r="A115" s="121">
        <v>2011</v>
      </c>
      <c r="B115" s="142" t="s">
        <v>268</v>
      </c>
      <c r="C115" s="11" t="s">
        <v>160</v>
      </c>
      <c r="D115" s="60" t="s">
        <v>391</v>
      </c>
      <c r="E115" s="57">
        <v>604</v>
      </c>
      <c r="F115" s="94">
        <v>150</v>
      </c>
      <c r="G115" s="94"/>
      <c r="H115" s="94"/>
      <c r="I115" s="16">
        <v>-120</v>
      </c>
      <c r="J115" s="64"/>
      <c r="K115" s="64"/>
      <c r="L115" s="95">
        <f t="shared" si="22"/>
        <v>484</v>
      </c>
      <c r="M115" s="96"/>
      <c r="N115" s="94">
        <f t="shared" si="30"/>
        <v>484</v>
      </c>
      <c r="O115" s="64">
        <v>9</v>
      </c>
      <c r="P115" s="57">
        <v>493</v>
      </c>
      <c r="Q115" s="97">
        <f t="shared" si="29"/>
        <v>0</v>
      </c>
      <c r="R115" s="2">
        <f t="shared" si="26"/>
        <v>0</v>
      </c>
      <c r="S115" s="2">
        <f t="shared" si="27"/>
        <v>0</v>
      </c>
      <c r="T115" s="2">
        <f t="shared" si="28"/>
        <v>0</v>
      </c>
      <c r="U115" s="128"/>
      <c r="V115" s="128"/>
      <c r="W115" s="128"/>
      <c r="X115" s="128"/>
      <c r="Y115" s="128"/>
      <c r="Z115" s="128"/>
      <c r="AA115" s="128"/>
      <c r="AB115" s="128"/>
      <c r="AC115" s="128"/>
      <c r="AD115" s="128"/>
      <c r="AE115" s="128"/>
      <c r="AF115" s="128"/>
      <c r="AG115" s="128"/>
    </row>
    <row r="116" spans="1:33" s="141" customFormat="1" ht="12" customHeight="1" x14ac:dyDescent="0.2">
      <c r="A116" s="121">
        <v>2011</v>
      </c>
      <c r="B116" s="123" t="s">
        <v>506</v>
      </c>
      <c r="C116" s="11" t="s">
        <v>507</v>
      </c>
      <c r="D116" s="86" t="s">
        <v>508</v>
      </c>
      <c r="E116" s="85">
        <v>0</v>
      </c>
      <c r="F116" s="94">
        <v>150</v>
      </c>
      <c r="G116" s="94"/>
      <c r="H116" s="94"/>
      <c r="I116" s="16">
        <v>120</v>
      </c>
      <c r="J116" s="64">
        <v>-126</v>
      </c>
      <c r="K116" s="64"/>
      <c r="L116" s="95">
        <f t="shared" si="22"/>
        <v>-6</v>
      </c>
      <c r="M116" s="96"/>
      <c r="N116" s="94"/>
      <c r="O116" s="64"/>
      <c r="P116" s="57">
        <v>0</v>
      </c>
      <c r="Q116" s="97">
        <f t="shared" si="29"/>
        <v>-6</v>
      </c>
      <c r="R116" s="2">
        <f t="shared" si="26"/>
        <v>0</v>
      </c>
      <c r="S116" s="2">
        <f t="shared" si="27"/>
        <v>0</v>
      </c>
      <c r="T116" s="2">
        <f t="shared" si="28"/>
        <v>0</v>
      </c>
      <c r="U116" s="128"/>
      <c r="V116" s="128"/>
      <c r="W116" s="128"/>
      <c r="X116" s="128"/>
      <c r="Y116" s="128"/>
      <c r="Z116" s="128"/>
      <c r="AA116" s="128"/>
      <c r="AB116" s="128"/>
      <c r="AC116" s="128"/>
      <c r="AD116" s="128"/>
      <c r="AE116" s="128"/>
      <c r="AF116" s="128"/>
      <c r="AG116" s="128"/>
    </row>
    <row r="117" spans="1:33" s="141" customFormat="1" ht="12" customHeight="1" x14ac:dyDescent="0.2">
      <c r="A117" s="121">
        <v>2011</v>
      </c>
      <c r="B117" s="121" t="s">
        <v>183</v>
      </c>
      <c r="C117" s="11" t="s">
        <v>253</v>
      </c>
      <c r="D117" s="86" t="s">
        <v>397</v>
      </c>
      <c r="E117" s="85">
        <v>30293</v>
      </c>
      <c r="F117" s="94">
        <v>75</v>
      </c>
      <c r="G117" s="94"/>
      <c r="H117" s="94"/>
      <c r="I117" s="16">
        <f>-3-6-1-8-1-1-4</f>
        <v>-24</v>
      </c>
      <c r="J117" s="64"/>
      <c r="K117" s="64"/>
      <c r="L117" s="95">
        <f t="shared" si="22"/>
        <v>30269</v>
      </c>
      <c r="M117" s="96"/>
      <c r="N117" s="94">
        <f t="shared" si="30"/>
        <v>30269</v>
      </c>
      <c r="O117" s="64"/>
      <c r="P117" s="79">
        <v>30267</v>
      </c>
      <c r="Q117" s="97">
        <f t="shared" si="29"/>
        <v>2</v>
      </c>
      <c r="R117" s="2">
        <f t="shared" si="26"/>
        <v>0</v>
      </c>
      <c r="S117" s="2">
        <f t="shared" si="27"/>
        <v>0</v>
      </c>
      <c r="T117" s="2">
        <f t="shared" si="28"/>
        <v>0</v>
      </c>
      <c r="U117" s="128"/>
      <c r="V117" s="128"/>
      <c r="W117" s="128"/>
      <c r="X117" s="128"/>
      <c r="Y117" s="128"/>
      <c r="Z117" s="128"/>
      <c r="AA117" s="128"/>
      <c r="AB117" s="128"/>
      <c r="AC117" s="128"/>
      <c r="AD117" s="128"/>
      <c r="AE117" s="128"/>
      <c r="AF117" s="128"/>
      <c r="AG117" s="128"/>
    </row>
    <row r="118" spans="1:33" s="141" customFormat="1" ht="12" customHeight="1" x14ac:dyDescent="0.2">
      <c r="A118" s="121">
        <v>2011</v>
      </c>
      <c r="B118" s="121" t="s">
        <v>244</v>
      </c>
      <c r="C118" s="11" t="s">
        <v>177</v>
      </c>
      <c r="D118" s="60" t="s">
        <v>392</v>
      </c>
      <c r="E118" s="57">
        <v>7</v>
      </c>
      <c r="F118" s="94">
        <v>75</v>
      </c>
      <c r="G118" s="94"/>
      <c r="H118" s="94"/>
      <c r="I118" s="16">
        <f>3+1+8+1</f>
        <v>13</v>
      </c>
      <c r="J118" s="64">
        <v>-19</v>
      </c>
      <c r="K118" s="64"/>
      <c r="L118" s="95">
        <f t="shared" si="22"/>
        <v>1</v>
      </c>
      <c r="M118" s="96"/>
      <c r="N118" s="94">
        <f t="shared" si="30"/>
        <v>1</v>
      </c>
      <c r="O118" s="64"/>
      <c r="P118" s="57">
        <v>0</v>
      </c>
      <c r="Q118" s="97">
        <f t="shared" si="29"/>
        <v>1</v>
      </c>
      <c r="R118" s="2">
        <f t="shared" si="26"/>
        <v>0</v>
      </c>
      <c r="S118" s="2">
        <f t="shared" si="27"/>
        <v>0</v>
      </c>
      <c r="T118" s="2">
        <f t="shared" si="28"/>
        <v>0</v>
      </c>
      <c r="U118" s="128"/>
      <c r="V118" s="128"/>
      <c r="W118" s="128"/>
      <c r="X118" s="128"/>
      <c r="Y118" s="128"/>
      <c r="Z118" s="128"/>
      <c r="AA118" s="128"/>
      <c r="AB118" s="128"/>
      <c r="AC118" s="128"/>
      <c r="AD118" s="128"/>
      <c r="AE118" s="128"/>
      <c r="AF118" s="128"/>
      <c r="AG118" s="128"/>
    </row>
    <row r="119" spans="1:33" s="141" customFormat="1" ht="12" customHeight="1" x14ac:dyDescent="0.2">
      <c r="A119" s="121">
        <v>2011</v>
      </c>
      <c r="B119" s="121" t="s">
        <v>280</v>
      </c>
      <c r="C119" s="11" t="s">
        <v>238</v>
      </c>
      <c r="D119" s="60" t="s">
        <v>271</v>
      </c>
      <c r="E119" s="57">
        <v>0</v>
      </c>
      <c r="F119" s="94">
        <v>75</v>
      </c>
      <c r="G119" s="94"/>
      <c r="H119" s="94"/>
      <c r="I119" s="16">
        <v>46</v>
      </c>
      <c r="J119" s="64">
        <v>-5</v>
      </c>
      <c r="K119" s="64"/>
      <c r="L119" s="95">
        <f t="shared" si="22"/>
        <v>41</v>
      </c>
      <c r="M119" s="96"/>
      <c r="N119" s="94">
        <f t="shared" si="30"/>
        <v>41</v>
      </c>
      <c r="O119" s="64"/>
      <c r="P119" s="57">
        <v>0</v>
      </c>
      <c r="Q119" s="97">
        <f t="shared" si="29"/>
        <v>41</v>
      </c>
      <c r="R119" s="2">
        <f t="shared" si="26"/>
        <v>0</v>
      </c>
      <c r="S119" s="2">
        <f t="shared" si="27"/>
        <v>0</v>
      </c>
      <c r="T119" s="2">
        <f t="shared" si="28"/>
        <v>0</v>
      </c>
      <c r="U119" s="128"/>
      <c r="V119" s="128"/>
      <c r="W119" s="128"/>
      <c r="X119" s="128"/>
      <c r="Y119" s="128"/>
      <c r="Z119" s="128"/>
      <c r="AA119" s="128"/>
      <c r="AB119" s="128"/>
      <c r="AC119" s="128"/>
      <c r="AD119" s="128"/>
      <c r="AE119" s="128"/>
      <c r="AF119" s="128"/>
      <c r="AG119" s="128"/>
    </row>
    <row r="120" spans="1:33" s="141" customFormat="1" ht="12" customHeight="1" x14ac:dyDescent="0.2">
      <c r="A120" s="143">
        <v>2011</v>
      </c>
      <c r="B120" s="121" t="s">
        <v>269</v>
      </c>
      <c r="C120" s="11" t="s">
        <v>161</v>
      </c>
      <c r="D120" s="60" t="s">
        <v>395</v>
      </c>
      <c r="E120" s="57">
        <v>609</v>
      </c>
      <c r="F120" s="94">
        <v>150</v>
      </c>
      <c r="G120" s="94"/>
      <c r="H120" s="94"/>
      <c r="I120" s="16"/>
      <c r="J120" s="64"/>
      <c r="K120" s="64"/>
      <c r="L120" s="95">
        <f t="shared" si="22"/>
        <v>609</v>
      </c>
      <c r="M120" s="96"/>
      <c r="N120" s="94">
        <f t="shared" si="30"/>
        <v>609</v>
      </c>
      <c r="O120" s="64"/>
      <c r="P120" s="57">
        <v>609</v>
      </c>
      <c r="Q120" s="97">
        <f t="shared" si="29"/>
        <v>0</v>
      </c>
      <c r="R120" s="2">
        <f t="shared" si="26"/>
        <v>0</v>
      </c>
      <c r="S120" s="2">
        <f t="shared" si="27"/>
        <v>0</v>
      </c>
      <c r="T120" s="2">
        <f t="shared" si="28"/>
        <v>0</v>
      </c>
      <c r="U120" s="128"/>
      <c r="V120" s="128"/>
      <c r="W120" s="128"/>
      <c r="X120" s="128"/>
      <c r="Y120" s="128"/>
      <c r="Z120" s="128"/>
      <c r="AA120" s="128"/>
      <c r="AB120" s="128"/>
      <c r="AC120" s="128"/>
      <c r="AD120" s="128"/>
      <c r="AE120" s="128"/>
      <c r="AF120" s="128"/>
      <c r="AG120" s="128"/>
    </row>
    <row r="121" spans="1:33" s="141" customFormat="1" ht="12" customHeight="1" x14ac:dyDescent="0.2">
      <c r="A121" s="121">
        <v>2011</v>
      </c>
      <c r="B121" s="121" t="s">
        <v>278</v>
      </c>
      <c r="C121" s="11" t="s">
        <v>242</v>
      </c>
      <c r="D121" s="60" t="s">
        <v>393</v>
      </c>
      <c r="E121" s="57">
        <v>0</v>
      </c>
      <c r="F121" s="94">
        <v>150</v>
      </c>
      <c r="G121" s="94"/>
      <c r="H121" s="94"/>
      <c r="I121" s="16"/>
      <c r="J121" s="64"/>
      <c r="K121" s="64"/>
      <c r="L121" s="95">
        <f t="shared" si="22"/>
        <v>0</v>
      </c>
      <c r="M121" s="96"/>
      <c r="N121" s="94">
        <f t="shared" si="30"/>
        <v>0</v>
      </c>
      <c r="O121" s="64"/>
      <c r="P121" s="57">
        <v>0</v>
      </c>
      <c r="Q121" s="97">
        <f t="shared" si="29"/>
        <v>0</v>
      </c>
      <c r="R121" s="2">
        <f t="shared" si="26"/>
        <v>0</v>
      </c>
      <c r="S121" s="2">
        <f t="shared" si="27"/>
        <v>0</v>
      </c>
      <c r="T121" s="2">
        <f t="shared" si="28"/>
        <v>0</v>
      </c>
      <c r="U121" s="128"/>
      <c r="V121" s="128"/>
      <c r="W121" s="128"/>
      <c r="X121" s="128"/>
      <c r="Y121" s="128"/>
      <c r="Z121" s="128"/>
      <c r="AA121" s="128"/>
      <c r="AB121" s="128"/>
      <c r="AC121" s="128"/>
      <c r="AD121" s="128"/>
      <c r="AE121" s="128"/>
      <c r="AF121" s="128"/>
      <c r="AG121" s="128"/>
    </row>
    <row r="122" spans="1:33" s="141" customFormat="1" ht="12" customHeight="1" x14ac:dyDescent="0.2">
      <c r="A122" s="121">
        <v>2011</v>
      </c>
      <c r="B122" s="121" t="s">
        <v>503</v>
      </c>
      <c r="C122" s="11" t="s">
        <v>504</v>
      </c>
      <c r="D122" s="60" t="s">
        <v>505</v>
      </c>
      <c r="E122" s="57">
        <v>0</v>
      </c>
      <c r="F122" s="94">
        <v>75</v>
      </c>
      <c r="G122" s="94"/>
      <c r="H122" s="94"/>
      <c r="I122" s="16">
        <v>1</v>
      </c>
      <c r="J122" s="64">
        <v>-1</v>
      </c>
      <c r="K122" s="64"/>
      <c r="L122" s="95">
        <f t="shared" si="22"/>
        <v>0</v>
      </c>
      <c r="M122" s="96"/>
      <c r="N122" s="94">
        <f t="shared" si="30"/>
        <v>0</v>
      </c>
      <c r="O122" s="64"/>
      <c r="P122" s="57">
        <v>0</v>
      </c>
      <c r="Q122" s="97">
        <f t="shared" si="29"/>
        <v>0</v>
      </c>
      <c r="R122" s="2">
        <f t="shared" si="26"/>
        <v>0</v>
      </c>
      <c r="S122" s="2">
        <f t="shared" si="27"/>
        <v>0</v>
      </c>
      <c r="T122" s="2">
        <f t="shared" si="28"/>
        <v>0</v>
      </c>
      <c r="U122" s="128"/>
      <c r="V122" s="128"/>
      <c r="W122" s="128"/>
      <c r="X122" s="128"/>
      <c r="Y122" s="128"/>
      <c r="Z122" s="128"/>
      <c r="AA122" s="128"/>
      <c r="AB122" s="128"/>
      <c r="AC122" s="128"/>
      <c r="AD122" s="128"/>
      <c r="AE122" s="128"/>
      <c r="AF122" s="128"/>
      <c r="AG122" s="128"/>
    </row>
    <row r="123" spans="1:33" s="141" customFormat="1" ht="12" customHeight="1" x14ac:dyDescent="0.2">
      <c r="A123" s="121">
        <v>2011</v>
      </c>
      <c r="B123" s="121" t="s">
        <v>270</v>
      </c>
      <c r="C123" s="11" t="s">
        <v>162</v>
      </c>
      <c r="D123" s="60" t="s">
        <v>396</v>
      </c>
      <c r="E123" s="57">
        <v>28</v>
      </c>
      <c r="F123" s="94">
        <v>300</v>
      </c>
      <c r="G123" s="94"/>
      <c r="H123" s="94"/>
      <c r="I123" s="16"/>
      <c r="J123" s="64"/>
      <c r="K123" s="64"/>
      <c r="L123" s="95">
        <f t="shared" si="22"/>
        <v>28</v>
      </c>
      <c r="M123" s="96"/>
      <c r="N123" s="94">
        <f t="shared" si="30"/>
        <v>28</v>
      </c>
      <c r="O123" s="64"/>
      <c r="P123" s="57">
        <v>28</v>
      </c>
      <c r="Q123" s="97">
        <f t="shared" si="29"/>
        <v>0</v>
      </c>
      <c r="R123" s="2">
        <f t="shared" si="26"/>
        <v>0</v>
      </c>
      <c r="S123" s="2">
        <f t="shared" si="27"/>
        <v>0</v>
      </c>
      <c r="T123" s="2">
        <f t="shared" si="28"/>
        <v>0</v>
      </c>
      <c r="U123" s="128"/>
      <c r="V123" s="128"/>
      <c r="W123" s="128"/>
      <c r="X123" s="128"/>
      <c r="Y123" s="128"/>
      <c r="Z123" s="128"/>
      <c r="AA123" s="128"/>
      <c r="AB123" s="128"/>
      <c r="AC123" s="128"/>
      <c r="AD123" s="128"/>
      <c r="AE123" s="128"/>
      <c r="AF123" s="128"/>
      <c r="AG123" s="128"/>
    </row>
    <row r="124" spans="1:33" s="141" customFormat="1" ht="12" customHeight="1" x14ac:dyDescent="0.2">
      <c r="A124" s="121">
        <v>2011</v>
      </c>
      <c r="B124" s="121" t="s">
        <v>279</v>
      </c>
      <c r="C124" s="11" t="s">
        <v>243</v>
      </c>
      <c r="D124" s="60" t="s">
        <v>394</v>
      </c>
      <c r="E124" s="57">
        <v>0</v>
      </c>
      <c r="F124" s="94">
        <v>300</v>
      </c>
      <c r="G124" s="94"/>
      <c r="H124" s="94"/>
      <c r="I124" s="16"/>
      <c r="J124" s="64"/>
      <c r="K124" s="64"/>
      <c r="L124" s="95">
        <f t="shared" si="22"/>
        <v>0</v>
      </c>
      <c r="M124" s="96"/>
      <c r="N124" s="94">
        <f t="shared" si="30"/>
        <v>0</v>
      </c>
      <c r="O124" s="64"/>
      <c r="P124" s="57">
        <v>0</v>
      </c>
      <c r="Q124" s="97">
        <f t="shared" si="29"/>
        <v>0</v>
      </c>
      <c r="R124" s="2">
        <f t="shared" si="26"/>
        <v>0</v>
      </c>
      <c r="S124" s="2">
        <f t="shared" si="27"/>
        <v>0</v>
      </c>
      <c r="T124" s="2">
        <f t="shared" si="28"/>
        <v>0</v>
      </c>
      <c r="U124" s="128"/>
      <c r="V124" s="128"/>
      <c r="W124" s="128"/>
      <c r="X124" s="128"/>
      <c r="Y124" s="128"/>
      <c r="Z124" s="128"/>
      <c r="AA124" s="128"/>
      <c r="AB124" s="128"/>
      <c r="AC124" s="128"/>
      <c r="AD124" s="128"/>
      <c r="AE124" s="128"/>
      <c r="AF124" s="128"/>
      <c r="AG124" s="128"/>
    </row>
    <row r="125" spans="1:33" s="141" customFormat="1" ht="12" customHeight="1" x14ac:dyDescent="0.2">
      <c r="A125" s="144"/>
      <c r="B125" s="144"/>
      <c r="C125" s="145"/>
      <c r="D125" s="146"/>
      <c r="E125" s="66"/>
      <c r="F125" s="66"/>
      <c r="G125" s="66"/>
      <c r="H125" s="66"/>
      <c r="I125" s="147"/>
      <c r="J125" s="66"/>
      <c r="K125" s="66"/>
      <c r="L125" s="65"/>
      <c r="M125" s="66"/>
      <c r="N125" s="66"/>
      <c r="O125" s="66"/>
      <c r="P125" s="66"/>
      <c r="Q125" s="148"/>
      <c r="R125" s="2">
        <f t="shared" si="26"/>
        <v>0</v>
      </c>
      <c r="S125" s="2">
        <f t="shared" si="27"/>
        <v>0</v>
      </c>
      <c r="T125" s="2">
        <f t="shared" si="28"/>
        <v>0</v>
      </c>
      <c r="U125" s="2"/>
      <c r="V125" s="2"/>
      <c r="W125" s="2"/>
      <c r="X125" s="2"/>
      <c r="Y125" s="2"/>
      <c r="Z125" s="128"/>
      <c r="AA125" s="128"/>
      <c r="AB125" s="128"/>
      <c r="AC125" s="128"/>
      <c r="AD125" s="128"/>
      <c r="AE125" s="128"/>
      <c r="AF125" s="128"/>
      <c r="AG125" s="128"/>
    </row>
    <row r="126" spans="1:33" s="141" customFormat="1" ht="12" customHeight="1" x14ac:dyDescent="0.2">
      <c r="A126" s="121">
        <v>2012</v>
      </c>
      <c r="B126" s="121" t="s">
        <v>403</v>
      </c>
      <c r="C126" s="11" t="s">
        <v>163</v>
      </c>
      <c r="D126" s="60" t="s">
        <v>164</v>
      </c>
      <c r="E126" s="79">
        <v>0</v>
      </c>
      <c r="F126" s="94">
        <v>75</v>
      </c>
      <c r="G126" s="94"/>
      <c r="H126" s="94"/>
      <c r="I126" s="16"/>
      <c r="J126" s="149"/>
      <c r="K126" s="64"/>
      <c r="L126" s="95">
        <f t="shared" si="22"/>
        <v>0</v>
      </c>
      <c r="M126" s="96"/>
      <c r="N126" s="94">
        <f t="shared" ref="N126:N177" si="31">+L126-M126</f>
        <v>0</v>
      </c>
      <c r="O126" s="64"/>
      <c r="P126" s="57">
        <v>0</v>
      </c>
      <c r="Q126" s="97">
        <f t="shared" ref="Q126:Q177" si="32">+L126+O126-P126</f>
        <v>0</v>
      </c>
      <c r="R126" s="2">
        <f t="shared" si="26"/>
        <v>0</v>
      </c>
      <c r="S126" s="2">
        <f t="shared" si="27"/>
        <v>0</v>
      </c>
      <c r="T126" s="2">
        <f t="shared" si="28"/>
        <v>0</v>
      </c>
      <c r="U126" s="128"/>
      <c r="V126" s="128"/>
      <c r="W126" s="128"/>
      <c r="X126" s="128"/>
      <c r="Y126" s="128"/>
      <c r="Z126" s="128"/>
      <c r="AA126" s="128"/>
      <c r="AB126" s="128"/>
      <c r="AC126" s="128"/>
      <c r="AD126" s="128"/>
      <c r="AE126" s="128"/>
      <c r="AF126" s="128"/>
      <c r="AG126" s="128"/>
    </row>
    <row r="127" spans="1:33" s="141" customFormat="1" ht="12" customHeight="1" x14ac:dyDescent="0.2">
      <c r="A127" s="121">
        <v>2012</v>
      </c>
      <c r="B127" s="121" t="s">
        <v>184</v>
      </c>
      <c r="C127" s="11" t="s">
        <v>208</v>
      </c>
      <c r="D127" s="60" t="s">
        <v>368</v>
      </c>
      <c r="E127" s="79">
        <v>109690</v>
      </c>
      <c r="F127" s="94">
        <v>75</v>
      </c>
      <c r="G127" s="94"/>
      <c r="H127" s="94"/>
      <c r="I127" s="16">
        <f>-6664-14731-3-1-2-2-12062-3-3-900-1800-6316-2077-8400-600</f>
        <v>-53564</v>
      </c>
      <c r="J127" s="64">
        <v>-1</v>
      </c>
      <c r="K127" s="64">
        <v>-9515</v>
      </c>
      <c r="L127" s="95">
        <f t="shared" si="22"/>
        <v>46610</v>
      </c>
      <c r="M127" s="96"/>
      <c r="N127" s="94">
        <f t="shared" si="31"/>
        <v>46610</v>
      </c>
      <c r="O127" s="64"/>
      <c r="P127" s="57">
        <v>46610</v>
      </c>
      <c r="Q127" s="97">
        <f t="shared" si="32"/>
        <v>0</v>
      </c>
      <c r="R127" s="2">
        <f t="shared" si="26"/>
        <v>0</v>
      </c>
      <c r="S127" s="2">
        <f t="shared" si="27"/>
        <v>0</v>
      </c>
      <c r="T127" s="2">
        <f t="shared" si="28"/>
        <v>0</v>
      </c>
      <c r="U127" s="128"/>
      <c r="V127" s="128"/>
      <c r="W127" s="128"/>
      <c r="X127" s="128"/>
      <c r="Y127" s="128"/>
      <c r="Z127" s="128"/>
      <c r="AA127" s="128"/>
      <c r="AB127" s="128"/>
      <c r="AC127" s="128"/>
      <c r="AD127" s="128"/>
      <c r="AE127" s="128"/>
      <c r="AF127" s="128"/>
      <c r="AG127" s="128"/>
    </row>
    <row r="128" spans="1:33" s="141" customFormat="1" ht="12" customHeight="1" x14ac:dyDescent="0.2">
      <c r="A128" s="121">
        <v>2012</v>
      </c>
      <c r="B128" s="121" t="s">
        <v>261</v>
      </c>
      <c r="C128" s="11" t="s">
        <v>214</v>
      </c>
      <c r="D128" s="60" t="s">
        <v>367</v>
      </c>
      <c r="E128" s="79">
        <v>2258</v>
      </c>
      <c r="F128" s="94">
        <v>75</v>
      </c>
      <c r="G128" s="94"/>
      <c r="H128" s="94"/>
      <c r="I128" s="16">
        <f>1800+600+14+2+2+2+8+2+2+3+828+3+2+396+1200+1200+600+3+12062+3+3+900+1800</f>
        <v>21435</v>
      </c>
      <c r="J128" s="64">
        <v>-22186</v>
      </c>
      <c r="K128" s="64">
        <v>-147</v>
      </c>
      <c r="L128" s="95">
        <f t="shared" si="22"/>
        <v>1360</v>
      </c>
      <c r="M128" s="96"/>
      <c r="N128" s="94">
        <f t="shared" si="31"/>
        <v>1360</v>
      </c>
      <c r="O128" s="64"/>
      <c r="P128" s="57">
        <v>1150</v>
      </c>
      <c r="Q128" s="97">
        <f t="shared" si="32"/>
        <v>210</v>
      </c>
      <c r="R128" s="2">
        <f t="shared" si="26"/>
        <v>0</v>
      </c>
      <c r="S128" s="2">
        <f t="shared" si="27"/>
        <v>0</v>
      </c>
      <c r="T128" s="2">
        <f t="shared" si="28"/>
        <v>0</v>
      </c>
      <c r="U128" s="128"/>
      <c r="V128" s="128"/>
      <c r="W128" s="128"/>
      <c r="X128" s="128"/>
      <c r="Y128" s="128"/>
      <c r="Z128" s="128"/>
      <c r="AA128" s="128"/>
      <c r="AB128" s="128"/>
      <c r="AC128" s="128"/>
      <c r="AD128" s="128"/>
      <c r="AE128" s="128"/>
      <c r="AF128" s="128"/>
      <c r="AG128" s="128"/>
    </row>
    <row r="129" spans="1:33" s="141" customFormat="1" ht="12" customHeight="1" x14ac:dyDescent="0.2">
      <c r="A129" s="121">
        <v>2012</v>
      </c>
      <c r="B129" s="121" t="s">
        <v>262</v>
      </c>
      <c r="C129" s="11" t="s">
        <v>223</v>
      </c>
      <c r="D129" s="60" t="s">
        <v>365</v>
      </c>
      <c r="E129" s="79">
        <v>0</v>
      </c>
      <c r="F129" s="94">
        <v>75</v>
      </c>
      <c r="G129" s="94"/>
      <c r="H129" s="94"/>
      <c r="I129" s="16">
        <f>6+6+16+6+1+7632+7056+2+6+6316+2077+8400</f>
        <v>31524</v>
      </c>
      <c r="J129" s="64">
        <v>-32786</v>
      </c>
      <c r="K129" s="64">
        <f>9515+147</f>
        <v>9662</v>
      </c>
      <c r="L129" s="95">
        <f t="shared" si="22"/>
        <v>8400</v>
      </c>
      <c r="M129" s="96"/>
      <c r="N129" s="94">
        <f t="shared" si="31"/>
        <v>8400</v>
      </c>
      <c r="O129" s="64"/>
      <c r="P129" s="79">
        <v>8400</v>
      </c>
      <c r="Q129" s="97">
        <f t="shared" si="32"/>
        <v>0</v>
      </c>
      <c r="R129" s="2">
        <f t="shared" si="26"/>
        <v>0</v>
      </c>
      <c r="S129" s="2">
        <f t="shared" si="27"/>
        <v>0</v>
      </c>
      <c r="T129" s="2">
        <f t="shared" si="28"/>
        <v>0</v>
      </c>
      <c r="U129" s="128"/>
      <c r="V129" s="128"/>
      <c r="W129" s="128"/>
      <c r="X129" s="128"/>
      <c r="Y129" s="128"/>
      <c r="Z129" s="128"/>
      <c r="AA129" s="128"/>
      <c r="AB129" s="128"/>
      <c r="AC129" s="128"/>
      <c r="AD129" s="128"/>
      <c r="AE129" s="128"/>
      <c r="AF129" s="128"/>
      <c r="AG129" s="128"/>
    </row>
    <row r="130" spans="1:33" s="141" customFormat="1" ht="12" customHeight="1" x14ac:dyDescent="0.2">
      <c r="A130" s="121">
        <v>2012</v>
      </c>
      <c r="B130" s="121" t="s">
        <v>263</v>
      </c>
      <c r="C130" s="11" t="s">
        <v>221</v>
      </c>
      <c r="D130" s="60" t="s">
        <v>254</v>
      </c>
      <c r="E130" s="79">
        <v>0</v>
      </c>
      <c r="F130" s="94">
        <v>75</v>
      </c>
      <c r="G130" s="94"/>
      <c r="H130" s="94"/>
      <c r="I130" s="16">
        <f>1+2+2+600</f>
        <v>605</v>
      </c>
      <c r="J130" s="64">
        <v>-606</v>
      </c>
      <c r="K130" s="64"/>
      <c r="L130" s="95">
        <f t="shared" si="22"/>
        <v>-1</v>
      </c>
      <c r="M130" s="96"/>
      <c r="N130" s="94">
        <f t="shared" si="31"/>
        <v>-1</v>
      </c>
      <c r="O130" s="64"/>
      <c r="P130" s="57">
        <v>0</v>
      </c>
      <c r="Q130" s="97">
        <f t="shared" si="32"/>
        <v>-1</v>
      </c>
      <c r="R130" s="2">
        <f t="shared" si="26"/>
        <v>0</v>
      </c>
      <c r="S130" s="2">
        <f t="shared" si="27"/>
        <v>0</v>
      </c>
      <c r="T130" s="2">
        <f t="shared" si="28"/>
        <v>0</v>
      </c>
      <c r="U130" s="128"/>
      <c r="V130" s="128"/>
      <c r="W130" s="128"/>
      <c r="X130" s="128"/>
      <c r="Y130" s="128"/>
      <c r="Z130" s="128"/>
      <c r="AA130" s="128"/>
      <c r="AB130" s="128"/>
      <c r="AC130" s="128"/>
      <c r="AD130" s="128"/>
      <c r="AE130" s="128"/>
      <c r="AF130" s="128"/>
      <c r="AG130" s="128"/>
    </row>
    <row r="131" spans="1:33" s="141" customFormat="1" ht="12" customHeight="1" x14ac:dyDescent="0.2">
      <c r="A131" s="121">
        <v>2012</v>
      </c>
      <c r="B131" s="121" t="s">
        <v>182</v>
      </c>
      <c r="C131" s="11" t="s">
        <v>209</v>
      </c>
      <c r="D131" s="60" t="s">
        <v>369</v>
      </c>
      <c r="E131" s="79">
        <v>78000</v>
      </c>
      <c r="F131" s="94">
        <v>75</v>
      </c>
      <c r="G131" s="94"/>
      <c r="H131" s="94"/>
      <c r="I131" s="16">
        <f>-76-1-9</f>
        <v>-86</v>
      </c>
      <c r="J131" s="64"/>
      <c r="K131" s="64"/>
      <c r="L131" s="95">
        <f t="shared" si="22"/>
        <v>77914</v>
      </c>
      <c r="M131" s="96"/>
      <c r="N131" s="94">
        <f t="shared" si="31"/>
        <v>77914</v>
      </c>
      <c r="O131" s="64"/>
      <c r="P131" s="57">
        <v>77913</v>
      </c>
      <c r="Q131" s="97">
        <f t="shared" si="32"/>
        <v>1</v>
      </c>
      <c r="R131" s="2">
        <f t="shared" si="26"/>
        <v>0</v>
      </c>
      <c r="S131" s="2">
        <f t="shared" si="27"/>
        <v>0</v>
      </c>
      <c r="T131" s="2">
        <f t="shared" si="28"/>
        <v>0</v>
      </c>
      <c r="U131" s="128"/>
      <c r="V131" s="128"/>
      <c r="W131" s="128"/>
      <c r="X131" s="128"/>
      <c r="Y131" s="128"/>
      <c r="Z131" s="128"/>
      <c r="AA131" s="128"/>
      <c r="AB131" s="128"/>
      <c r="AC131" s="128"/>
      <c r="AD131" s="128"/>
      <c r="AE131" s="128"/>
      <c r="AF131" s="128"/>
      <c r="AG131" s="128"/>
    </row>
    <row r="132" spans="1:33" s="141" customFormat="1" ht="12" customHeight="1" x14ac:dyDescent="0.2">
      <c r="A132" s="121">
        <v>2012</v>
      </c>
      <c r="B132" s="121" t="s">
        <v>229</v>
      </c>
      <c r="C132" s="11" t="s">
        <v>197</v>
      </c>
      <c r="D132" s="60" t="s">
        <v>366</v>
      </c>
      <c r="E132" s="79">
        <v>1157</v>
      </c>
      <c r="F132" s="94">
        <v>75</v>
      </c>
      <c r="G132" s="94"/>
      <c r="H132" s="94"/>
      <c r="I132" s="16">
        <f>1+1+10+5+3+2+4+3+6+1+30+6+4+3+4+2</f>
        <v>85</v>
      </c>
      <c r="J132" s="64">
        <v>-532</v>
      </c>
      <c r="K132" s="64"/>
      <c r="L132" s="95">
        <f t="shared" si="22"/>
        <v>710</v>
      </c>
      <c r="M132" s="96"/>
      <c r="N132" s="94">
        <f t="shared" si="31"/>
        <v>710</v>
      </c>
      <c r="O132" s="64"/>
      <c r="P132" s="57">
        <v>692</v>
      </c>
      <c r="Q132" s="97">
        <f t="shared" si="32"/>
        <v>18</v>
      </c>
      <c r="R132" s="2">
        <f t="shared" si="26"/>
        <v>0</v>
      </c>
      <c r="S132" s="2">
        <f t="shared" si="27"/>
        <v>0</v>
      </c>
      <c r="T132" s="2">
        <f t="shared" si="28"/>
        <v>0</v>
      </c>
      <c r="U132" s="128"/>
      <c r="V132" s="128"/>
      <c r="W132" s="128"/>
      <c r="X132" s="128"/>
      <c r="Y132" s="128"/>
      <c r="Z132" s="128"/>
      <c r="AA132" s="128"/>
      <c r="AB132" s="128"/>
      <c r="AC132" s="128"/>
      <c r="AD132" s="128"/>
      <c r="AE132" s="128"/>
      <c r="AF132" s="128"/>
      <c r="AG132" s="128"/>
    </row>
    <row r="133" spans="1:33" s="141" customFormat="1" ht="12" customHeight="1" x14ac:dyDescent="0.2">
      <c r="A133" s="121">
        <v>2012</v>
      </c>
      <c r="B133" s="121" t="s">
        <v>413</v>
      </c>
      <c r="C133" s="11" t="s">
        <v>466</v>
      </c>
      <c r="D133" s="60" t="s">
        <v>414</v>
      </c>
      <c r="E133" s="79"/>
      <c r="F133" s="94">
        <v>75</v>
      </c>
      <c r="G133" s="94"/>
      <c r="H133" s="94"/>
      <c r="I133" s="16">
        <v>1</v>
      </c>
      <c r="J133" s="64">
        <v>-7</v>
      </c>
      <c r="K133" s="64"/>
      <c r="L133" s="95">
        <f t="shared" si="22"/>
        <v>-6</v>
      </c>
      <c r="M133" s="96"/>
      <c r="N133" s="94">
        <f t="shared" si="31"/>
        <v>-6</v>
      </c>
      <c r="O133" s="64"/>
      <c r="P133" s="57">
        <v>0</v>
      </c>
      <c r="Q133" s="97">
        <f t="shared" si="32"/>
        <v>-6</v>
      </c>
      <c r="R133" s="2">
        <f t="shared" si="26"/>
        <v>0</v>
      </c>
      <c r="S133" s="2">
        <f t="shared" si="27"/>
        <v>0</v>
      </c>
      <c r="T133" s="2">
        <f t="shared" si="28"/>
        <v>0</v>
      </c>
      <c r="U133" s="128"/>
      <c r="V133" s="128"/>
      <c r="W133" s="128"/>
      <c r="X133" s="128"/>
      <c r="Y133" s="128"/>
      <c r="Z133" s="128"/>
      <c r="AA133" s="128"/>
      <c r="AB133" s="128"/>
      <c r="AC133" s="128"/>
      <c r="AD133" s="128"/>
      <c r="AE133" s="128"/>
      <c r="AF133" s="128"/>
      <c r="AG133" s="128"/>
    </row>
    <row r="134" spans="1:33" s="141" customFormat="1" ht="12" customHeight="1" x14ac:dyDescent="0.2">
      <c r="A134" s="121">
        <v>2012</v>
      </c>
      <c r="B134" s="121" t="s">
        <v>443</v>
      </c>
      <c r="C134" s="11" t="s">
        <v>468</v>
      </c>
      <c r="D134" s="60" t="s">
        <v>467</v>
      </c>
      <c r="E134" s="79"/>
      <c r="F134" s="94">
        <v>75</v>
      </c>
      <c r="G134" s="94"/>
      <c r="H134" s="94"/>
      <c r="I134" s="16"/>
      <c r="J134" s="64">
        <v>-7</v>
      </c>
      <c r="K134" s="64"/>
      <c r="L134" s="95">
        <f t="shared" si="22"/>
        <v>-7</v>
      </c>
      <c r="M134" s="96"/>
      <c r="N134" s="94">
        <f t="shared" si="31"/>
        <v>-7</v>
      </c>
      <c r="O134" s="64"/>
      <c r="P134" s="57">
        <v>0</v>
      </c>
      <c r="Q134" s="97">
        <f t="shared" si="32"/>
        <v>-7</v>
      </c>
      <c r="R134" s="2">
        <f t="shared" si="26"/>
        <v>0</v>
      </c>
      <c r="S134" s="2">
        <f t="shared" si="27"/>
        <v>0</v>
      </c>
      <c r="T134" s="2">
        <f t="shared" si="28"/>
        <v>0</v>
      </c>
      <c r="U134" s="128"/>
      <c r="V134" s="128"/>
      <c r="W134" s="128"/>
      <c r="X134" s="128"/>
      <c r="Y134" s="128"/>
      <c r="Z134" s="128"/>
      <c r="AA134" s="128"/>
      <c r="AB134" s="128"/>
      <c r="AC134" s="128"/>
      <c r="AD134" s="128"/>
      <c r="AE134" s="128"/>
      <c r="AF134" s="128"/>
      <c r="AG134" s="128"/>
    </row>
    <row r="135" spans="1:33" s="141" customFormat="1" ht="12" customHeight="1" x14ac:dyDescent="0.2">
      <c r="A135" s="121">
        <v>2012</v>
      </c>
      <c r="B135" s="121" t="s">
        <v>268</v>
      </c>
      <c r="C135" s="11" t="s">
        <v>211</v>
      </c>
      <c r="D135" s="60" t="s">
        <v>370</v>
      </c>
      <c r="E135" s="79">
        <v>635</v>
      </c>
      <c r="F135" s="94">
        <v>150</v>
      </c>
      <c r="G135" s="94"/>
      <c r="H135" s="94"/>
      <c r="I135" s="16"/>
      <c r="J135" s="64"/>
      <c r="K135" s="64"/>
      <c r="L135" s="95">
        <f t="shared" si="22"/>
        <v>635</v>
      </c>
      <c r="M135" s="96"/>
      <c r="N135" s="94">
        <f t="shared" si="31"/>
        <v>635</v>
      </c>
      <c r="O135" s="64"/>
      <c r="P135" s="57">
        <v>635</v>
      </c>
      <c r="Q135" s="97">
        <f t="shared" si="32"/>
        <v>0</v>
      </c>
      <c r="R135" s="2">
        <f t="shared" si="26"/>
        <v>0</v>
      </c>
      <c r="S135" s="2">
        <f t="shared" si="27"/>
        <v>0</v>
      </c>
      <c r="T135" s="2">
        <f t="shared" si="28"/>
        <v>0</v>
      </c>
      <c r="U135" s="128"/>
      <c r="V135" s="128"/>
      <c r="W135" s="128"/>
      <c r="X135" s="128"/>
      <c r="Y135" s="128"/>
      <c r="Z135" s="128"/>
      <c r="AA135" s="128"/>
      <c r="AB135" s="128"/>
      <c r="AC135" s="128"/>
      <c r="AD135" s="128"/>
      <c r="AE135" s="128"/>
      <c r="AF135" s="128"/>
      <c r="AG135" s="128"/>
    </row>
    <row r="136" spans="1:33" s="180" customFormat="1" x14ac:dyDescent="0.2">
      <c r="A136" s="121">
        <v>2012</v>
      </c>
      <c r="B136" s="121" t="s">
        <v>183</v>
      </c>
      <c r="C136" s="11" t="s">
        <v>210</v>
      </c>
      <c r="D136" s="60" t="s">
        <v>371</v>
      </c>
      <c r="E136" s="79">
        <v>16486</v>
      </c>
      <c r="F136" s="177">
        <v>75</v>
      </c>
      <c r="G136" s="177"/>
      <c r="H136" s="177"/>
      <c r="I136" s="174">
        <f>-1-6-3-6-1209-165-3-12-4-914-928-2154-700-1-1-3-3-121-4</f>
        <v>-6238</v>
      </c>
      <c r="J136" s="60"/>
      <c r="K136" s="60"/>
      <c r="L136" s="175">
        <f t="shared" si="22"/>
        <v>10248</v>
      </c>
      <c r="M136" s="176"/>
      <c r="N136" s="177">
        <f t="shared" si="31"/>
        <v>10248</v>
      </c>
      <c r="O136" s="60">
        <f>-594-8</f>
        <v>-602</v>
      </c>
      <c r="P136" s="57">
        <v>9591</v>
      </c>
      <c r="Q136" s="178">
        <f t="shared" si="32"/>
        <v>55</v>
      </c>
      <c r="R136" s="156">
        <f t="shared" si="26"/>
        <v>0</v>
      </c>
      <c r="S136" s="156">
        <f t="shared" si="27"/>
        <v>0</v>
      </c>
      <c r="T136" s="156">
        <f t="shared" si="28"/>
        <v>0</v>
      </c>
      <c r="U136" s="179"/>
      <c r="V136" s="179"/>
      <c r="W136" s="179"/>
      <c r="X136" s="179"/>
      <c r="Y136" s="179"/>
      <c r="Z136" s="179"/>
      <c r="AA136" s="179"/>
      <c r="AB136" s="179"/>
      <c r="AC136" s="179"/>
      <c r="AD136" s="179"/>
      <c r="AE136" s="179"/>
      <c r="AF136" s="179"/>
      <c r="AG136" s="179"/>
    </row>
    <row r="137" spans="1:33" s="141" customFormat="1" ht="12" customHeight="1" x14ac:dyDescent="0.2">
      <c r="A137" s="121">
        <v>2012</v>
      </c>
      <c r="B137" s="121" t="s">
        <v>264</v>
      </c>
      <c r="C137" s="11" t="s">
        <v>178</v>
      </c>
      <c r="D137" s="60" t="s">
        <v>363</v>
      </c>
      <c r="E137" s="79">
        <v>171</v>
      </c>
      <c r="F137" s="94">
        <v>75</v>
      </c>
      <c r="G137" s="94"/>
      <c r="H137" s="94"/>
      <c r="I137" s="16">
        <f>3+12+4+1+3+3+121</f>
        <v>147</v>
      </c>
      <c r="J137" s="64">
        <v>-41</v>
      </c>
      <c r="K137" s="64"/>
      <c r="L137" s="95">
        <f t="shared" si="22"/>
        <v>277</v>
      </c>
      <c r="M137" s="96"/>
      <c r="N137" s="94">
        <f t="shared" si="31"/>
        <v>277</v>
      </c>
      <c r="O137" s="64">
        <v>8</v>
      </c>
      <c r="P137" s="79">
        <v>265</v>
      </c>
      <c r="Q137" s="97">
        <f t="shared" si="32"/>
        <v>20</v>
      </c>
      <c r="R137" s="2">
        <f t="shared" si="26"/>
        <v>0</v>
      </c>
      <c r="S137" s="2">
        <f t="shared" si="27"/>
        <v>0</v>
      </c>
      <c r="T137" s="2">
        <f t="shared" si="28"/>
        <v>0</v>
      </c>
      <c r="U137" s="128"/>
      <c r="V137" s="128"/>
      <c r="W137" s="128"/>
      <c r="X137" s="128"/>
      <c r="Y137" s="128"/>
      <c r="Z137" s="128"/>
      <c r="AA137" s="128"/>
      <c r="AB137" s="128"/>
      <c r="AC137" s="128"/>
      <c r="AD137" s="128"/>
      <c r="AE137" s="128"/>
      <c r="AF137" s="128"/>
      <c r="AG137" s="128"/>
    </row>
    <row r="138" spans="1:33" s="141" customFormat="1" ht="12" customHeight="1" x14ac:dyDescent="0.2">
      <c r="A138" s="121">
        <v>2012</v>
      </c>
      <c r="B138" s="121" t="s">
        <v>444</v>
      </c>
      <c r="C138" s="11" t="s">
        <v>470</v>
      </c>
      <c r="D138" s="60" t="s">
        <v>471</v>
      </c>
      <c r="E138" s="79"/>
      <c r="F138" s="94">
        <v>75</v>
      </c>
      <c r="G138" s="94"/>
      <c r="H138" s="94"/>
      <c r="I138" s="16">
        <v>4</v>
      </c>
      <c r="J138" s="64">
        <v>-5</v>
      </c>
      <c r="K138" s="64"/>
      <c r="L138" s="95">
        <f t="shared" si="22"/>
        <v>-1</v>
      </c>
      <c r="M138" s="96"/>
      <c r="N138" s="94">
        <f t="shared" si="31"/>
        <v>-1</v>
      </c>
      <c r="O138" s="64"/>
      <c r="P138" s="57">
        <v>0</v>
      </c>
      <c r="Q138" s="97">
        <f t="shared" si="32"/>
        <v>-1</v>
      </c>
      <c r="R138" s="2">
        <f t="shared" si="26"/>
        <v>0</v>
      </c>
      <c r="S138" s="2">
        <f t="shared" si="27"/>
        <v>0</v>
      </c>
      <c r="T138" s="2">
        <f t="shared" si="28"/>
        <v>0</v>
      </c>
      <c r="U138" s="128"/>
      <c r="V138" s="128"/>
      <c r="W138" s="128"/>
      <c r="X138" s="128"/>
      <c r="Y138" s="128"/>
      <c r="Z138" s="128"/>
      <c r="AA138" s="128"/>
      <c r="AB138" s="128"/>
      <c r="AC138" s="128"/>
      <c r="AD138" s="128"/>
      <c r="AE138" s="128"/>
      <c r="AF138" s="128"/>
      <c r="AG138" s="128"/>
    </row>
    <row r="139" spans="1:33" s="141" customFormat="1" ht="12" customHeight="1" x14ac:dyDescent="0.2">
      <c r="A139" s="121">
        <v>2012</v>
      </c>
      <c r="B139" s="121" t="s">
        <v>409</v>
      </c>
      <c r="C139" s="11" t="s">
        <v>469</v>
      </c>
      <c r="D139" s="60" t="s">
        <v>410</v>
      </c>
      <c r="E139" s="79">
        <v>36</v>
      </c>
      <c r="F139" s="94">
        <v>75</v>
      </c>
      <c r="G139" s="94"/>
      <c r="H139" s="94"/>
      <c r="I139" s="16">
        <f>1+6+3+6+1209+165+914+928+2154+700+1</f>
        <v>6087</v>
      </c>
      <c r="J139" s="64">
        <v>-6159</v>
      </c>
      <c r="K139" s="64"/>
      <c r="L139" s="95">
        <f t="shared" si="22"/>
        <v>-36</v>
      </c>
      <c r="M139" s="96"/>
      <c r="N139" s="94">
        <f t="shared" si="31"/>
        <v>-36</v>
      </c>
      <c r="O139" s="64">
        <v>594</v>
      </c>
      <c r="P139" s="57">
        <v>526</v>
      </c>
      <c r="Q139" s="97">
        <f t="shared" si="32"/>
        <v>32</v>
      </c>
      <c r="R139" s="2">
        <f t="shared" si="26"/>
        <v>0</v>
      </c>
      <c r="S139" s="2">
        <f t="shared" si="27"/>
        <v>0</v>
      </c>
      <c r="T139" s="2">
        <f t="shared" si="28"/>
        <v>0</v>
      </c>
      <c r="U139" s="128"/>
      <c r="V139" s="128"/>
      <c r="W139" s="128"/>
      <c r="X139" s="128"/>
      <c r="Y139" s="128"/>
      <c r="Z139" s="128"/>
      <c r="AA139" s="128"/>
      <c r="AB139" s="128"/>
      <c r="AC139" s="128"/>
      <c r="AD139" s="128"/>
      <c r="AE139" s="128"/>
      <c r="AF139" s="128"/>
      <c r="AG139" s="128"/>
    </row>
    <row r="140" spans="1:33" s="141" customFormat="1" ht="12" customHeight="1" x14ac:dyDescent="0.2">
      <c r="A140" s="121">
        <v>2012</v>
      </c>
      <c r="B140" s="121" t="s">
        <v>269</v>
      </c>
      <c r="C140" s="11" t="s">
        <v>212</v>
      </c>
      <c r="D140" s="60" t="s">
        <v>372</v>
      </c>
      <c r="E140" s="79">
        <v>627</v>
      </c>
      <c r="F140" s="94">
        <v>150</v>
      </c>
      <c r="G140" s="94"/>
      <c r="H140" s="94"/>
      <c r="I140" s="16">
        <f>-90-480</f>
        <v>-570</v>
      </c>
      <c r="J140" s="64"/>
      <c r="K140" s="64"/>
      <c r="L140" s="95">
        <f t="shared" si="22"/>
        <v>57</v>
      </c>
      <c r="M140" s="96"/>
      <c r="N140" s="94">
        <f t="shared" si="31"/>
        <v>57</v>
      </c>
      <c r="O140" s="64"/>
      <c r="P140" s="57">
        <v>55</v>
      </c>
      <c r="Q140" s="97">
        <f t="shared" si="32"/>
        <v>2</v>
      </c>
      <c r="R140" s="2">
        <f t="shared" si="26"/>
        <v>0</v>
      </c>
      <c r="S140" s="2">
        <f t="shared" si="27"/>
        <v>0</v>
      </c>
      <c r="T140" s="2">
        <f t="shared" si="28"/>
        <v>0</v>
      </c>
      <c r="U140" s="128"/>
      <c r="V140" s="128"/>
      <c r="W140" s="128"/>
      <c r="X140" s="128"/>
      <c r="Y140" s="128"/>
      <c r="Z140" s="128"/>
      <c r="AA140" s="128"/>
      <c r="AB140" s="128"/>
      <c r="AC140" s="128"/>
      <c r="AD140" s="128"/>
      <c r="AE140" s="128"/>
      <c r="AF140" s="128"/>
      <c r="AG140" s="128"/>
    </row>
    <row r="141" spans="1:33" s="141" customFormat="1" ht="12" customHeight="1" x14ac:dyDescent="0.2">
      <c r="A141" s="121">
        <v>2012</v>
      </c>
      <c r="B141" s="121" t="s">
        <v>265</v>
      </c>
      <c r="C141" s="11" t="s">
        <v>245</v>
      </c>
      <c r="D141" s="60" t="s">
        <v>364</v>
      </c>
      <c r="E141" s="79">
        <v>0</v>
      </c>
      <c r="F141" s="94">
        <v>150</v>
      </c>
      <c r="G141" s="94"/>
      <c r="H141" s="94"/>
      <c r="I141" s="16"/>
      <c r="J141" s="64"/>
      <c r="K141" s="64"/>
      <c r="L141" s="95">
        <f t="shared" si="22"/>
        <v>0</v>
      </c>
      <c r="M141" s="96"/>
      <c r="N141" s="94">
        <f t="shared" si="31"/>
        <v>0</v>
      </c>
      <c r="O141" s="64"/>
      <c r="P141" s="57">
        <v>0</v>
      </c>
      <c r="Q141" s="97">
        <f t="shared" si="32"/>
        <v>0</v>
      </c>
      <c r="R141" s="2">
        <f t="shared" si="26"/>
        <v>0</v>
      </c>
      <c r="S141" s="2">
        <f t="shared" si="27"/>
        <v>0</v>
      </c>
      <c r="T141" s="2">
        <f t="shared" si="28"/>
        <v>0</v>
      </c>
      <c r="U141" s="128"/>
      <c r="V141" s="128"/>
      <c r="W141" s="128"/>
      <c r="X141" s="128"/>
      <c r="Y141" s="128"/>
      <c r="Z141" s="128"/>
      <c r="AA141" s="128"/>
      <c r="AB141" s="128"/>
      <c r="AC141" s="128"/>
      <c r="AD141" s="128"/>
      <c r="AE141" s="128"/>
      <c r="AF141" s="128"/>
      <c r="AG141" s="128"/>
    </row>
    <row r="142" spans="1:33" s="141" customFormat="1" ht="12" customHeight="1" x14ac:dyDescent="0.2">
      <c r="A142" s="121">
        <v>2012</v>
      </c>
      <c r="B142" s="121" t="s">
        <v>419</v>
      </c>
      <c r="C142" s="11" t="s">
        <v>472</v>
      </c>
      <c r="D142" s="60" t="s">
        <v>420</v>
      </c>
      <c r="E142" s="79"/>
      <c r="F142" s="94">
        <v>150</v>
      </c>
      <c r="G142" s="94"/>
      <c r="H142" s="94"/>
      <c r="I142" s="16">
        <f>90+480</f>
        <v>570</v>
      </c>
      <c r="J142" s="64">
        <v>-215</v>
      </c>
      <c r="K142" s="64"/>
      <c r="L142" s="95">
        <f t="shared" si="22"/>
        <v>355</v>
      </c>
      <c r="M142" s="96"/>
      <c r="N142" s="94">
        <f t="shared" si="31"/>
        <v>355</v>
      </c>
      <c r="O142" s="64"/>
      <c r="P142" s="57">
        <v>355</v>
      </c>
      <c r="Q142" s="97">
        <f t="shared" si="32"/>
        <v>0</v>
      </c>
      <c r="R142" s="2">
        <f t="shared" si="26"/>
        <v>0</v>
      </c>
      <c r="S142" s="2">
        <f t="shared" si="27"/>
        <v>0</v>
      </c>
      <c r="T142" s="2">
        <f t="shared" si="28"/>
        <v>0</v>
      </c>
      <c r="U142" s="128"/>
      <c r="V142" s="128"/>
      <c r="W142" s="128"/>
      <c r="X142" s="128"/>
      <c r="Y142" s="128"/>
      <c r="Z142" s="128"/>
      <c r="AA142" s="128"/>
      <c r="AB142" s="128"/>
      <c r="AC142" s="128"/>
      <c r="AD142" s="128"/>
      <c r="AE142" s="128"/>
      <c r="AF142" s="128"/>
      <c r="AG142" s="128"/>
    </row>
    <row r="143" spans="1:33" s="141" customFormat="1" ht="12" customHeight="1" x14ac:dyDescent="0.2">
      <c r="A143" s="121">
        <v>2012</v>
      </c>
      <c r="B143" s="121" t="s">
        <v>270</v>
      </c>
      <c r="C143" s="11" t="s">
        <v>213</v>
      </c>
      <c r="D143" s="60" t="s">
        <v>373</v>
      </c>
      <c r="E143" s="79">
        <v>30</v>
      </c>
      <c r="F143" s="94">
        <v>300</v>
      </c>
      <c r="G143" s="94"/>
      <c r="H143" s="94"/>
      <c r="I143" s="16"/>
      <c r="J143" s="64"/>
      <c r="K143" s="64"/>
      <c r="L143" s="95">
        <f t="shared" si="22"/>
        <v>30</v>
      </c>
      <c r="M143" s="96"/>
      <c r="N143" s="94">
        <f t="shared" si="31"/>
        <v>30</v>
      </c>
      <c r="O143" s="64"/>
      <c r="P143" s="79">
        <v>30</v>
      </c>
      <c r="Q143" s="97">
        <f t="shared" si="32"/>
        <v>0</v>
      </c>
      <c r="R143" s="2">
        <f t="shared" si="26"/>
        <v>0</v>
      </c>
      <c r="S143" s="2">
        <f t="shared" si="27"/>
        <v>0</v>
      </c>
      <c r="T143" s="2">
        <f t="shared" si="28"/>
        <v>0</v>
      </c>
      <c r="U143" s="128"/>
      <c r="V143" s="128"/>
      <c r="W143" s="128"/>
      <c r="X143" s="128"/>
      <c r="Y143" s="128"/>
      <c r="Z143" s="128"/>
      <c r="AA143" s="128"/>
      <c r="AB143" s="128"/>
      <c r="AC143" s="128"/>
      <c r="AD143" s="128"/>
      <c r="AE143" s="128"/>
      <c r="AF143" s="128"/>
      <c r="AG143" s="128"/>
    </row>
    <row r="144" spans="1:33" s="141" customFormat="1" ht="12" customHeight="1" x14ac:dyDescent="0.2">
      <c r="A144" s="150"/>
      <c r="B144" s="150"/>
      <c r="C144" s="151"/>
      <c r="D144" s="152"/>
      <c r="E144" s="69"/>
      <c r="F144" s="69"/>
      <c r="G144" s="69"/>
      <c r="H144" s="69"/>
      <c r="I144" s="69"/>
      <c r="J144" s="69"/>
      <c r="K144" s="69"/>
      <c r="L144" s="65"/>
      <c r="M144" s="69"/>
      <c r="N144" s="69"/>
      <c r="O144" s="69"/>
      <c r="P144" s="69"/>
      <c r="Q144" s="69"/>
      <c r="R144" s="2">
        <f t="shared" si="26"/>
        <v>0</v>
      </c>
      <c r="S144" s="2">
        <f t="shared" si="27"/>
        <v>0</v>
      </c>
      <c r="T144" s="2">
        <f t="shared" si="28"/>
        <v>0</v>
      </c>
      <c r="U144" s="2"/>
      <c r="V144" s="2"/>
      <c r="W144" s="2"/>
      <c r="X144" s="2"/>
      <c r="Y144" s="2"/>
      <c r="Z144" s="128"/>
      <c r="AA144" s="128"/>
      <c r="AB144" s="128"/>
      <c r="AC144" s="128"/>
      <c r="AD144" s="128"/>
      <c r="AE144" s="128"/>
      <c r="AF144" s="128"/>
      <c r="AG144" s="128"/>
    </row>
    <row r="145" spans="1:33" s="141" customFormat="1" ht="12" customHeight="1" x14ac:dyDescent="0.2">
      <c r="A145" s="121">
        <v>2013</v>
      </c>
      <c r="B145" s="121" t="s">
        <v>398</v>
      </c>
      <c r="C145" s="11" t="s">
        <v>215</v>
      </c>
      <c r="D145" s="60" t="s">
        <v>247</v>
      </c>
      <c r="E145" s="79"/>
      <c r="F145" s="93">
        <v>75</v>
      </c>
      <c r="G145" s="93"/>
      <c r="H145" s="93"/>
      <c r="I145" s="184"/>
      <c r="J145" s="11"/>
      <c r="K145" s="11"/>
      <c r="L145" s="95">
        <f t="shared" ref="L145:L177" si="33">SUM(E145:K145)-F145</f>
        <v>0</v>
      </c>
      <c r="M145" s="96"/>
      <c r="N145" s="94">
        <f t="shared" si="31"/>
        <v>0</v>
      </c>
      <c r="O145" s="11"/>
      <c r="P145" s="79">
        <v>0</v>
      </c>
      <c r="Q145" s="97">
        <f>+L145+O145-P145</f>
        <v>0</v>
      </c>
      <c r="R145" s="2">
        <f t="shared" si="26"/>
        <v>0</v>
      </c>
      <c r="S145" s="2">
        <f t="shared" si="27"/>
        <v>0</v>
      </c>
      <c r="T145" s="2">
        <f t="shared" si="28"/>
        <v>0</v>
      </c>
      <c r="U145" s="2"/>
      <c r="V145" s="2"/>
      <c r="W145" s="2"/>
      <c r="X145" s="2"/>
      <c r="Y145" s="2"/>
      <c r="Z145" s="128"/>
      <c r="AA145" s="128"/>
      <c r="AB145" s="128"/>
      <c r="AC145" s="128"/>
      <c r="AD145" s="128"/>
      <c r="AE145" s="128"/>
      <c r="AF145" s="128"/>
      <c r="AG145" s="128"/>
    </row>
    <row r="146" spans="1:33" s="141" customFormat="1" ht="12" customHeight="1" x14ac:dyDescent="0.2">
      <c r="A146" s="121">
        <v>2013</v>
      </c>
      <c r="B146" s="121" t="s">
        <v>267</v>
      </c>
      <c r="C146" s="11" t="s">
        <v>218</v>
      </c>
      <c r="D146" s="60" t="s">
        <v>256</v>
      </c>
      <c r="E146" s="79">
        <v>2179</v>
      </c>
      <c r="F146" s="93">
        <v>75</v>
      </c>
      <c r="G146" s="93"/>
      <c r="H146" s="93"/>
      <c r="I146" s="184"/>
      <c r="J146" s="11">
        <v>-2086</v>
      </c>
      <c r="K146" s="11"/>
      <c r="L146" s="95">
        <f t="shared" si="33"/>
        <v>93</v>
      </c>
      <c r="M146" s="96"/>
      <c r="N146" s="94">
        <f t="shared" si="31"/>
        <v>93</v>
      </c>
      <c r="O146" s="11"/>
      <c r="P146" s="79">
        <v>6</v>
      </c>
      <c r="Q146" s="97">
        <f t="shared" ref="Q146:Q166" si="34">+L146+O146-P146</f>
        <v>87</v>
      </c>
      <c r="R146" s="2">
        <f t="shared" ref="R146:R156" si="35">IF(F146=75,H146,)</f>
        <v>0</v>
      </c>
      <c r="S146" s="2">
        <f t="shared" si="27"/>
        <v>0</v>
      </c>
      <c r="T146" s="2">
        <f t="shared" si="28"/>
        <v>0</v>
      </c>
      <c r="U146" s="2"/>
      <c r="V146" s="2"/>
      <c r="W146" s="2"/>
      <c r="X146" s="2"/>
      <c r="Y146" s="2"/>
      <c r="Z146" s="128"/>
      <c r="AA146" s="128"/>
      <c r="AB146" s="128"/>
      <c r="AC146" s="128"/>
      <c r="AD146" s="128"/>
      <c r="AE146" s="128"/>
      <c r="AF146" s="128"/>
      <c r="AG146" s="128"/>
    </row>
    <row r="147" spans="1:33" s="141" customFormat="1" ht="12" customHeight="1" x14ac:dyDescent="0.2">
      <c r="A147" s="121">
        <v>2013</v>
      </c>
      <c r="B147" s="121" t="s">
        <v>424</v>
      </c>
      <c r="C147" s="11" t="s">
        <v>474</v>
      </c>
      <c r="D147" s="60" t="s">
        <v>445</v>
      </c>
      <c r="E147" s="79"/>
      <c r="F147" s="93">
        <v>75</v>
      </c>
      <c r="G147" s="93"/>
      <c r="H147" s="93">
        <f>92911+56320</f>
        <v>149231</v>
      </c>
      <c r="I147" s="184">
        <f>-8-2-462-6-12-6-906-1-312-1230-2-1862-5</f>
        <v>-4814</v>
      </c>
      <c r="J147" s="11"/>
      <c r="K147" s="11">
        <v>-600</v>
      </c>
      <c r="L147" s="95">
        <f t="shared" si="33"/>
        <v>143817</v>
      </c>
      <c r="M147" s="96"/>
      <c r="N147" s="94">
        <f t="shared" si="31"/>
        <v>143817</v>
      </c>
      <c r="O147" s="11"/>
      <c r="P147" s="79">
        <v>143787</v>
      </c>
      <c r="Q147" s="97">
        <f t="shared" si="34"/>
        <v>30</v>
      </c>
      <c r="R147" s="2">
        <f t="shared" si="35"/>
        <v>149231</v>
      </c>
      <c r="S147" s="2">
        <f t="shared" si="27"/>
        <v>0</v>
      </c>
      <c r="T147" s="2">
        <f t="shared" si="28"/>
        <v>0</v>
      </c>
      <c r="U147" s="2"/>
      <c r="V147" s="2"/>
      <c r="W147" s="2"/>
      <c r="X147" s="2"/>
      <c r="Y147" s="2"/>
      <c r="Z147" s="128"/>
      <c r="AA147" s="128"/>
      <c r="AB147" s="128"/>
      <c r="AC147" s="128"/>
      <c r="AD147" s="128"/>
      <c r="AE147" s="128"/>
      <c r="AF147" s="128"/>
      <c r="AG147" s="128"/>
    </row>
    <row r="148" spans="1:33" s="141" customFormat="1" ht="12" customHeight="1" x14ac:dyDescent="0.2">
      <c r="A148" s="121">
        <v>2013</v>
      </c>
      <c r="B148" s="121" t="s">
        <v>440</v>
      </c>
      <c r="C148" s="11" t="s">
        <v>475</v>
      </c>
      <c r="D148" s="60" t="s">
        <v>446</v>
      </c>
      <c r="E148" s="79"/>
      <c r="F148" s="93">
        <v>75</v>
      </c>
      <c r="G148" s="93"/>
      <c r="H148" s="93"/>
      <c r="I148" s="184">
        <f>6+1+4</f>
        <v>11</v>
      </c>
      <c r="J148" s="11">
        <v>-8</v>
      </c>
      <c r="K148" s="11"/>
      <c r="L148" s="95">
        <f t="shared" si="33"/>
        <v>3</v>
      </c>
      <c r="M148" s="96"/>
      <c r="N148" s="94">
        <f t="shared" si="31"/>
        <v>3</v>
      </c>
      <c r="O148" s="11"/>
      <c r="P148" s="79">
        <v>0</v>
      </c>
      <c r="Q148" s="97">
        <f t="shared" si="34"/>
        <v>3</v>
      </c>
      <c r="R148" s="2">
        <f t="shared" si="35"/>
        <v>0</v>
      </c>
      <c r="S148" s="2">
        <f t="shared" ref="S148:S156" si="36">IF(F148=150,H148,)</f>
        <v>0</v>
      </c>
      <c r="T148" s="2">
        <f t="shared" ref="T148:T156" si="37">IF(F148=300,H148,)</f>
        <v>0</v>
      </c>
      <c r="U148" s="2"/>
      <c r="V148" s="2"/>
      <c r="W148" s="2"/>
      <c r="X148" s="2"/>
      <c r="Y148" s="2"/>
      <c r="Z148" s="128"/>
      <c r="AA148" s="128"/>
      <c r="AB148" s="128"/>
      <c r="AC148" s="128"/>
      <c r="AD148" s="128"/>
      <c r="AE148" s="128"/>
      <c r="AF148" s="128"/>
      <c r="AG148" s="128"/>
    </row>
    <row r="149" spans="1:33" s="141" customFormat="1" ht="12" customHeight="1" x14ac:dyDescent="0.2">
      <c r="A149" s="121">
        <v>2013</v>
      </c>
      <c r="B149" s="121" t="s">
        <v>425</v>
      </c>
      <c r="C149" s="11" t="s">
        <v>474</v>
      </c>
      <c r="D149" s="60" t="s">
        <v>445</v>
      </c>
      <c r="E149" s="79"/>
      <c r="F149" s="93">
        <v>150</v>
      </c>
      <c r="G149" s="93"/>
      <c r="H149" s="93">
        <v>2370</v>
      </c>
      <c r="I149" s="184">
        <f>-12-360-240-2-201</f>
        <v>-815</v>
      </c>
      <c r="J149" s="11"/>
      <c r="K149" s="11">
        <v>-315</v>
      </c>
      <c r="L149" s="95">
        <f t="shared" si="33"/>
        <v>1240</v>
      </c>
      <c r="M149" s="96"/>
      <c r="N149" s="94">
        <f t="shared" si="31"/>
        <v>1240</v>
      </c>
      <c r="O149" s="11"/>
      <c r="P149" s="79">
        <v>1240</v>
      </c>
      <c r="Q149" s="97">
        <f t="shared" si="34"/>
        <v>0</v>
      </c>
      <c r="R149" s="2">
        <f t="shared" si="35"/>
        <v>0</v>
      </c>
      <c r="S149" s="2">
        <f t="shared" si="36"/>
        <v>2370</v>
      </c>
      <c r="T149" s="2">
        <f t="shared" si="37"/>
        <v>0</v>
      </c>
      <c r="U149" s="2"/>
      <c r="V149" s="2"/>
      <c r="W149" s="2"/>
      <c r="X149" s="2"/>
      <c r="Y149" s="2"/>
      <c r="Z149" s="128"/>
      <c r="AA149" s="128"/>
      <c r="AB149" s="128"/>
      <c r="AC149" s="128"/>
      <c r="AD149" s="128"/>
      <c r="AE149" s="128"/>
      <c r="AF149" s="128"/>
      <c r="AG149" s="128"/>
    </row>
    <row r="150" spans="1:33" s="141" customFormat="1" ht="12" customHeight="1" x14ac:dyDescent="0.2">
      <c r="A150" s="121">
        <v>2013</v>
      </c>
      <c r="B150" s="121" t="s">
        <v>426</v>
      </c>
      <c r="C150" s="11" t="s">
        <v>473</v>
      </c>
      <c r="D150" s="60" t="s">
        <v>447</v>
      </c>
      <c r="E150" s="79"/>
      <c r="F150" s="93">
        <v>75</v>
      </c>
      <c r="G150" s="93"/>
      <c r="H150" s="93">
        <v>160151</v>
      </c>
      <c r="I150" s="184">
        <f>-10874-2-4-4-2-4-6-4422-273-3-10290-480-25-24-154-4</f>
        <v>-26571</v>
      </c>
      <c r="J150" s="11"/>
      <c r="K150" s="11">
        <v>72</v>
      </c>
      <c r="L150" s="95">
        <f t="shared" si="33"/>
        <v>133652</v>
      </c>
      <c r="M150" s="96"/>
      <c r="N150" s="94">
        <f t="shared" si="31"/>
        <v>133652</v>
      </c>
      <c r="O150" s="11"/>
      <c r="P150" s="79">
        <v>133658</v>
      </c>
      <c r="Q150" s="97">
        <f>+L150+O150-P150</f>
        <v>-6</v>
      </c>
      <c r="R150" s="2">
        <f t="shared" si="35"/>
        <v>160151</v>
      </c>
      <c r="S150" s="2">
        <f t="shared" si="36"/>
        <v>0</v>
      </c>
      <c r="T150" s="2">
        <f t="shared" si="37"/>
        <v>0</v>
      </c>
      <c r="U150" s="2"/>
      <c r="V150" s="2"/>
      <c r="W150" s="2"/>
      <c r="X150" s="2"/>
      <c r="Y150" s="2"/>
      <c r="Z150" s="128"/>
      <c r="AA150" s="128"/>
      <c r="AB150" s="128"/>
      <c r="AC150" s="128"/>
      <c r="AD150" s="128"/>
      <c r="AE150" s="128"/>
      <c r="AF150" s="128"/>
      <c r="AG150" s="128"/>
    </row>
    <row r="151" spans="1:33" s="141" customFormat="1" ht="12" customHeight="1" x14ac:dyDescent="0.2">
      <c r="A151" s="121">
        <v>2013</v>
      </c>
      <c r="B151" s="121" t="s">
        <v>441</v>
      </c>
      <c r="C151" s="11" t="s">
        <v>476</v>
      </c>
      <c r="D151" s="60" t="s">
        <v>448</v>
      </c>
      <c r="E151" s="79"/>
      <c r="F151" s="93">
        <v>75</v>
      </c>
      <c r="G151" s="93"/>
      <c r="H151" s="93"/>
      <c r="I151" s="184">
        <f>6+4+4</f>
        <v>14</v>
      </c>
      <c r="J151" s="11">
        <v>-4</v>
      </c>
      <c r="K151" s="11"/>
      <c r="L151" s="95">
        <f t="shared" si="33"/>
        <v>10</v>
      </c>
      <c r="M151" s="96"/>
      <c r="N151" s="94">
        <f t="shared" si="31"/>
        <v>10</v>
      </c>
      <c r="O151" s="11"/>
      <c r="P151" s="79">
        <v>0</v>
      </c>
      <c r="Q151" s="97">
        <f t="shared" si="34"/>
        <v>10</v>
      </c>
      <c r="R151" s="2">
        <f t="shared" si="35"/>
        <v>0</v>
      </c>
      <c r="S151" s="2">
        <f t="shared" si="36"/>
        <v>0</v>
      </c>
      <c r="T151" s="2">
        <f t="shared" si="37"/>
        <v>0</v>
      </c>
      <c r="U151" s="2"/>
      <c r="V151" s="2"/>
      <c r="W151" s="2"/>
      <c r="X151" s="2"/>
      <c r="Y151" s="2"/>
      <c r="Z151" s="128"/>
      <c r="AA151" s="128"/>
      <c r="AB151" s="128"/>
      <c r="AC151" s="128"/>
      <c r="AD151" s="128"/>
      <c r="AE151" s="128"/>
      <c r="AF151" s="128"/>
      <c r="AG151" s="128"/>
    </row>
    <row r="152" spans="1:33" s="141" customFormat="1" ht="12" customHeight="1" x14ac:dyDescent="0.2">
      <c r="A152" s="121">
        <v>2013</v>
      </c>
      <c r="B152" s="121" t="s">
        <v>427</v>
      </c>
      <c r="C152" s="11" t="s">
        <v>478</v>
      </c>
      <c r="D152" s="60" t="s">
        <v>449</v>
      </c>
      <c r="E152" s="79"/>
      <c r="F152" s="93">
        <v>150</v>
      </c>
      <c r="G152" s="93"/>
      <c r="H152" s="93">
        <v>369</v>
      </c>
      <c r="I152" s="184"/>
      <c r="J152" s="11"/>
      <c r="K152" s="11"/>
      <c r="L152" s="95">
        <f t="shared" si="33"/>
        <v>369</v>
      </c>
      <c r="M152" s="96"/>
      <c r="N152" s="94">
        <f t="shared" si="31"/>
        <v>369</v>
      </c>
      <c r="O152" s="11"/>
      <c r="P152" s="79">
        <v>369</v>
      </c>
      <c r="Q152" s="97">
        <f t="shared" si="34"/>
        <v>0</v>
      </c>
      <c r="R152" s="2">
        <f t="shared" si="35"/>
        <v>0</v>
      </c>
      <c r="S152" s="2">
        <f t="shared" si="36"/>
        <v>369</v>
      </c>
      <c r="T152" s="2">
        <f t="shared" si="37"/>
        <v>0</v>
      </c>
      <c r="U152" s="2"/>
      <c r="V152" s="2"/>
      <c r="W152" s="2"/>
      <c r="X152" s="2"/>
      <c r="Y152" s="2"/>
      <c r="Z152" s="128"/>
      <c r="AA152" s="128"/>
      <c r="AB152" s="128"/>
      <c r="AC152" s="128"/>
      <c r="AD152" s="128"/>
      <c r="AE152" s="128"/>
      <c r="AF152" s="128"/>
      <c r="AG152" s="128"/>
    </row>
    <row r="153" spans="1:33" s="141" customFormat="1" ht="12" customHeight="1" x14ac:dyDescent="0.2">
      <c r="A153" s="121">
        <v>2013</v>
      </c>
      <c r="B153" s="121" t="s">
        <v>428</v>
      </c>
      <c r="C153" s="11" t="s">
        <v>477</v>
      </c>
      <c r="D153" s="60" t="s">
        <v>450</v>
      </c>
      <c r="E153" s="79"/>
      <c r="F153" s="93">
        <v>75</v>
      </c>
      <c r="G153" s="93"/>
      <c r="H153" s="93">
        <v>19568</v>
      </c>
      <c r="I153" s="184">
        <f>-8-4-130</f>
        <v>-142</v>
      </c>
      <c r="J153" s="11"/>
      <c r="K153" s="11"/>
      <c r="L153" s="95">
        <f t="shared" si="33"/>
        <v>19426</v>
      </c>
      <c r="M153" s="96"/>
      <c r="N153" s="94">
        <f t="shared" si="31"/>
        <v>19426</v>
      </c>
      <c r="O153" s="11"/>
      <c r="P153" s="79">
        <v>19419</v>
      </c>
      <c r="Q153" s="97">
        <f t="shared" si="34"/>
        <v>7</v>
      </c>
      <c r="R153" s="2">
        <f t="shared" si="35"/>
        <v>19568</v>
      </c>
      <c r="S153" s="2">
        <f t="shared" si="36"/>
        <v>0</v>
      </c>
      <c r="T153" s="2">
        <f t="shared" si="37"/>
        <v>0</v>
      </c>
      <c r="U153" s="2"/>
      <c r="V153" s="2"/>
      <c r="W153" s="2"/>
      <c r="X153" s="2"/>
      <c r="Y153" s="2"/>
      <c r="Z153" s="128"/>
      <c r="AA153" s="128"/>
      <c r="AB153" s="128"/>
      <c r="AC153" s="128"/>
      <c r="AD153" s="128"/>
      <c r="AE153" s="128"/>
      <c r="AF153" s="128"/>
      <c r="AG153" s="128"/>
    </row>
    <row r="154" spans="1:33" s="141" customFormat="1" ht="12" customHeight="1" x14ac:dyDescent="0.2">
      <c r="A154" s="121">
        <v>2013</v>
      </c>
      <c r="B154" s="121" t="s">
        <v>429</v>
      </c>
      <c r="C154" s="11" t="s">
        <v>479</v>
      </c>
      <c r="D154" s="60" t="s">
        <v>451</v>
      </c>
      <c r="E154" s="79"/>
      <c r="F154" s="93">
        <v>150</v>
      </c>
      <c r="G154" s="93"/>
      <c r="H154" s="93">
        <v>265</v>
      </c>
      <c r="I154" s="184"/>
      <c r="J154" s="11"/>
      <c r="K154" s="11"/>
      <c r="L154" s="95">
        <f t="shared" si="33"/>
        <v>265</v>
      </c>
      <c r="M154" s="96"/>
      <c r="N154" s="94">
        <f t="shared" si="31"/>
        <v>265</v>
      </c>
      <c r="O154" s="11"/>
      <c r="P154" s="79">
        <v>265</v>
      </c>
      <c r="Q154" s="97">
        <f t="shared" si="34"/>
        <v>0</v>
      </c>
      <c r="R154" s="2">
        <f t="shared" si="35"/>
        <v>0</v>
      </c>
      <c r="S154" s="2">
        <f t="shared" si="36"/>
        <v>265</v>
      </c>
      <c r="T154" s="2">
        <f t="shared" si="37"/>
        <v>0</v>
      </c>
      <c r="U154" s="2"/>
      <c r="V154" s="2"/>
      <c r="W154" s="2"/>
      <c r="X154" s="2"/>
      <c r="Y154" s="2"/>
      <c r="Z154" s="128"/>
      <c r="AA154" s="128"/>
      <c r="AB154" s="128"/>
      <c r="AC154" s="128"/>
      <c r="AD154" s="128"/>
      <c r="AE154" s="128"/>
      <c r="AF154" s="128"/>
      <c r="AG154" s="128"/>
    </row>
    <row r="155" spans="1:33" s="141" customFormat="1" ht="12" customHeight="1" x14ac:dyDescent="0.2">
      <c r="A155" s="121">
        <v>2013</v>
      </c>
      <c r="B155" s="121" t="s">
        <v>430</v>
      </c>
      <c r="C155" s="11" t="s">
        <v>480</v>
      </c>
      <c r="D155" s="60" t="s">
        <v>452</v>
      </c>
      <c r="E155" s="79"/>
      <c r="F155" s="93">
        <v>300</v>
      </c>
      <c r="G155" s="93"/>
      <c r="H155" s="93">
        <v>30</v>
      </c>
      <c r="I155" s="184"/>
      <c r="J155" s="11"/>
      <c r="K155" s="11"/>
      <c r="L155" s="95">
        <f t="shared" si="33"/>
        <v>30</v>
      </c>
      <c r="M155" s="96"/>
      <c r="N155" s="94">
        <f t="shared" si="31"/>
        <v>30</v>
      </c>
      <c r="O155" s="11"/>
      <c r="P155" s="79">
        <v>29</v>
      </c>
      <c r="Q155" s="97">
        <f t="shared" si="34"/>
        <v>1</v>
      </c>
      <c r="R155" s="2">
        <f t="shared" si="35"/>
        <v>0</v>
      </c>
      <c r="S155" s="2">
        <f t="shared" si="36"/>
        <v>0</v>
      </c>
      <c r="T155" s="2">
        <f t="shared" si="37"/>
        <v>30</v>
      </c>
      <c r="U155" s="2"/>
      <c r="V155" s="2"/>
      <c r="W155" s="2"/>
      <c r="X155" s="2"/>
      <c r="Y155" s="2"/>
      <c r="Z155" s="128"/>
      <c r="AA155" s="128"/>
      <c r="AB155" s="128"/>
      <c r="AC155" s="128"/>
      <c r="AD155" s="128"/>
      <c r="AE155" s="128"/>
      <c r="AF155" s="128"/>
      <c r="AG155" s="128"/>
    </row>
    <row r="156" spans="1:33" s="141" customFormat="1" ht="12" customHeight="1" x14ac:dyDescent="0.2">
      <c r="A156" s="121">
        <v>2013</v>
      </c>
      <c r="B156" s="121" t="s">
        <v>266</v>
      </c>
      <c r="C156" s="11" t="s">
        <v>222</v>
      </c>
      <c r="D156" s="60" t="s">
        <v>255</v>
      </c>
      <c r="E156" s="79"/>
      <c r="F156" s="93">
        <v>75</v>
      </c>
      <c r="G156" s="93"/>
      <c r="H156" s="93"/>
      <c r="I156" s="184"/>
      <c r="J156" s="11"/>
      <c r="K156" s="11"/>
      <c r="L156" s="95">
        <f t="shared" si="33"/>
        <v>0</v>
      </c>
      <c r="M156" s="96"/>
      <c r="N156" s="94">
        <f t="shared" si="31"/>
        <v>0</v>
      </c>
      <c r="O156" s="11"/>
      <c r="P156" s="79">
        <v>0</v>
      </c>
      <c r="Q156" s="97">
        <f t="shared" si="34"/>
        <v>0</v>
      </c>
      <c r="R156" s="2">
        <f t="shared" si="35"/>
        <v>0</v>
      </c>
      <c r="S156" s="2">
        <f t="shared" si="36"/>
        <v>0</v>
      </c>
      <c r="T156" s="2">
        <f t="shared" si="37"/>
        <v>0</v>
      </c>
      <c r="U156" s="2"/>
      <c r="V156" s="2"/>
      <c r="W156" s="2"/>
      <c r="X156" s="2"/>
      <c r="Y156" s="2"/>
      <c r="Z156" s="128"/>
      <c r="AA156" s="128"/>
      <c r="AB156" s="128"/>
      <c r="AC156" s="128"/>
      <c r="AD156" s="128"/>
      <c r="AE156" s="128"/>
      <c r="AF156" s="128"/>
      <c r="AG156" s="128"/>
    </row>
    <row r="157" spans="1:33" s="141" customFormat="1" ht="12" customHeight="1" x14ac:dyDescent="0.2">
      <c r="A157" s="121">
        <v>2013</v>
      </c>
      <c r="B157" s="121" t="s">
        <v>437</v>
      </c>
      <c r="C157" s="11" t="s">
        <v>481</v>
      </c>
      <c r="D157" s="60" t="s">
        <v>453</v>
      </c>
      <c r="E157" s="79"/>
      <c r="F157" s="93">
        <v>75</v>
      </c>
      <c r="G157" s="93"/>
      <c r="H157" s="93"/>
      <c r="I157" s="184">
        <f>8+2+4+462+12+6+906+1+312+1230+2</f>
        <v>2945</v>
      </c>
      <c r="J157" s="11">
        <v>-2718</v>
      </c>
      <c r="K157" s="11">
        <v>600</v>
      </c>
      <c r="L157" s="95">
        <f t="shared" si="33"/>
        <v>827</v>
      </c>
      <c r="M157" s="96"/>
      <c r="N157" s="94">
        <f t="shared" si="31"/>
        <v>827</v>
      </c>
      <c r="O157" s="11"/>
      <c r="P157" s="79">
        <v>831</v>
      </c>
      <c r="Q157" s="97">
        <f t="shared" si="34"/>
        <v>-4</v>
      </c>
      <c r="R157" s="2">
        <f t="shared" si="26"/>
        <v>0</v>
      </c>
      <c r="S157" s="2">
        <f t="shared" si="27"/>
        <v>0</v>
      </c>
      <c r="T157" s="2">
        <f t="shared" si="28"/>
        <v>0</v>
      </c>
      <c r="U157" s="2"/>
      <c r="V157" s="2"/>
      <c r="W157" s="2"/>
      <c r="X157" s="2"/>
      <c r="Y157" s="2"/>
      <c r="Z157" s="128"/>
      <c r="AA157" s="128"/>
      <c r="AB157" s="128"/>
      <c r="AC157" s="128"/>
      <c r="AD157" s="128"/>
      <c r="AE157" s="128"/>
      <c r="AF157" s="128"/>
      <c r="AG157" s="128"/>
    </row>
    <row r="158" spans="1:33" s="141" customFormat="1" ht="12" customHeight="1" x14ac:dyDescent="0.2">
      <c r="A158" s="121">
        <v>2013</v>
      </c>
      <c r="B158" s="121" t="s">
        <v>438</v>
      </c>
      <c r="C158" s="11" t="s">
        <v>475</v>
      </c>
      <c r="D158" s="60" t="s">
        <v>454</v>
      </c>
      <c r="E158" s="79"/>
      <c r="F158" s="93">
        <v>75</v>
      </c>
      <c r="G158" s="93"/>
      <c r="H158" s="93"/>
      <c r="I158" s="184">
        <f>4+1+1859+2</f>
        <v>1866</v>
      </c>
      <c r="J158" s="11">
        <v>-1864</v>
      </c>
      <c r="K158" s="11"/>
      <c r="L158" s="95">
        <f t="shared" si="33"/>
        <v>2</v>
      </c>
      <c r="M158" s="96"/>
      <c r="N158" s="94">
        <f t="shared" si="31"/>
        <v>2</v>
      </c>
      <c r="O158" s="11"/>
      <c r="P158" s="79">
        <v>0</v>
      </c>
      <c r="Q158" s="97">
        <f t="shared" si="34"/>
        <v>2</v>
      </c>
      <c r="R158" s="2">
        <f t="shared" si="26"/>
        <v>0</v>
      </c>
      <c r="S158" s="2">
        <f t="shared" si="27"/>
        <v>0</v>
      </c>
      <c r="T158" s="2">
        <f t="shared" si="28"/>
        <v>0</v>
      </c>
      <c r="U158" s="2"/>
      <c r="V158" s="2"/>
      <c r="W158" s="2"/>
      <c r="X158" s="2"/>
      <c r="Y158" s="2"/>
      <c r="Z158" s="128"/>
      <c r="AA158" s="128"/>
      <c r="AB158" s="128"/>
      <c r="AC158" s="128"/>
      <c r="AD158" s="128"/>
      <c r="AE158" s="128"/>
      <c r="AF158" s="128"/>
      <c r="AG158" s="128"/>
    </row>
    <row r="159" spans="1:33" s="141" customFormat="1" ht="12" customHeight="1" x14ac:dyDescent="0.2">
      <c r="A159" s="121">
        <v>2013</v>
      </c>
      <c r="B159" s="121" t="s">
        <v>433</v>
      </c>
      <c r="C159" s="11" t="s">
        <v>482</v>
      </c>
      <c r="D159" s="60" t="s">
        <v>455</v>
      </c>
      <c r="E159" s="79"/>
      <c r="F159" s="93">
        <v>75</v>
      </c>
      <c r="G159" s="93"/>
      <c r="H159" s="93"/>
      <c r="I159" s="184">
        <f>2+1</f>
        <v>3</v>
      </c>
      <c r="J159" s="11">
        <v>-5</v>
      </c>
      <c r="K159" s="11"/>
      <c r="L159" s="95">
        <f t="shared" si="33"/>
        <v>-2</v>
      </c>
      <c r="M159" s="96"/>
      <c r="N159" s="94">
        <f t="shared" si="31"/>
        <v>-2</v>
      </c>
      <c r="O159" s="11"/>
      <c r="P159" s="79">
        <v>0</v>
      </c>
      <c r="Q159" s="97">
        <f t="shared" si="34"/>
        <v>-2</v>
      </c>
      <c r="R159" s="2">
        <f t="shared" si="26"/>
        <v>0</v>
      </c>
      <c r="S159" s="2">
        <f t="shared" si="27"/>
        <v>0</v>
      </c>
      <c r="T159" s="2">
        <f t="shared" si="28"/>
        <v>0</v>
      </c>
      <c r="U159" s="2"/>
      <c r="V159" s="2"/>
      <c r="W159" s="2"/>
      <c r="X159" s="2"/>
      <c r="Y159" s="2"/>
      <c r="Z159" s="128"/>
      <c r="AA159" s="128"/>
      <c r="AB159" s="128"/>
      <c r="AC159" s="128"/>
      <c r="AD159" s="128"/>
      <c r="AE159" s="128"/>
      <c r="AF159" s="128"/>
      <c r="AG159" s="128"/>
    </row>
    <row r="160" spans="1:33" s="141" customFormat="1" ht="12" customHeight="1" x14ac:dyDescent="0.2">
      <c r="A160" s="121">
        <v>2013</v>
      </c>
      <c r="B160" s="121" t="s">
        <v>399</v>
      </c>
      <c r="C160" s="11" t="s">
        <v>216</v>
      </c>
      <c r="D160" s="60" t="s">
        <v>248</v>
      </c>
      <c r="E160" s="79"/>
      <c r="F160" s="93">
        <v>150</v>
      </c>
      <c r="G160" s="93"/>
      <c r="H160" s="93"/>
      <c r="I160" s="184"/>
      <c r="J160" s="11"/>
      <c r="K160" s="11"/>
      <c r="L160" s="95">
        <f t="shared" si="33"/>
        <v>0</v>
      </c>
      <c r="M160" s="96"/>
      <c r="N160" s="94">
        <f t="shared" si="31"/>
        <v>0</v>
      </c>
      <c r="O160" s="11"/>
      <c r="P160" s="79">
        <v>0</v>
      </c>
      <c r="Q160" s="97">
        <f t="shared" si="34"/>
        <v>0</v>
      </c>
      <c r="R160" s="2">
        <f t="shared" si="26"/>
        <v>0</v>
      </c>
      <c r="S160" s="2">
        <f t="shared" si="27"/>
        <v>0</v>
      </c>
      <c r="T160" s="2">
        <f t="shared" si="28"/>
        <v>0</v>
      </c>
      <c r="U160" s="2"/>
      <c r="V160" s="2"/>
      <c r="W160" s="2"/>
      <c r="X160" s="2"/>
      <c r="Y160" s="2"/>
      <c r="Z160" s="128"/>
      <c r="AA160" s="128"/>
      <c r="AB160" s="128"/>
      <c r="AC160" s="128"/>
      <c r="AD160" s="128"/>
      <c r="AE160" s="128"/>
      <c r="AF160" s="128"/>
      <c r="AG160" s="128"/>
    </row>
    <row r="161" spans="1:33" s="141" customFormat="1" ht="12" customHeight="1" x14ac:dyDescent="0.2">
      <c r="A161" s="121">
        <v>2013</v>
      </c>
      <c r="B161" s="121" t="s">
        <v>401</v>
      </c>
      <c r="C161" s="11" t="s">
        <v>219</v>
      </c>
      <c r="D161" s="60" t="s">
        <v>257</v>
      </c>
      <c r="E161" s="79">
        <v>7</v>
      </c>
      <c r="F161" s="93">
        <v>150</v>
      </c>
      <c r="G161" s="93"/>
      <c r="H161" s="93"/>
      <c r="I161" s="184">
        <v>14</v>
      </c>
      <c r="J161" s="11">
        <v>-18</v>
      </c>
      <c r="K161" s="11"/>
      <c r="L161" s="95">
        <f t="shared" si="33"/>
        <v>3</v>
      </c>
      <c r="M161" s="96"/>
      <c r="N161" s="94">
        <f t="shared" si="31"/>
        <v>3</v>
      </c>
      <c r="O161" s="11"/>
      <c r="P161" s="79">
        <v>0</v>
      </c>
      <c r="Q161" s="97">
        <f t="shared" si="34"/>
        <v>3</v>
      </c>
      <c r="R161" s="2">
        <f t="shared" si="26"/>
        <v>0</v>
      </c>
      <c r="S161" s="2">
        <f t="shared" si="27"/>
        <v>0</v>
      </c>
      <c r="T161" s="2">
        <f t="shared" si="28"/>
        <v>0</v>
      </c>
      <c r="U161" s="2"/>
      <c r="V161" s="2"/>
      <c r="W161" s="2"/>
      <c r="X161" s="2"/>
      <c r="Y161" s="2"/>
      <c r="Z161" s="128"/>
      <c r="AA161" s="128"/>
      <c r="AB161" s="128"/>
      <c r="AC161" s="128"/>
      <c r="AD161" s="128"/>
      <c r="AE161" s="128"/>
      <c r="AF161" s="128"/>
      <c r="AG161" s="128"/>
    </row>
    <row r="162" spans="1:33" s="141" customFormat="1" ht="12" customHeight="1" x14ac:dyDescent="0.2">
      <c r="A162" s="121">
        <v>2013</v>
      </c>
      <c r="B162" s="121" t="s">
        <v>439</v>
      </c>
      <c r="C162" s="11" t="s">
        <v>483</v>
      </c>
      <c r="D162" s="60" t="s">
        <v>456</v>
      </c>
      <c r="E162" s="79"/>
      <c r="F162" s="93">
        <v>150</v>
      </c>
      <c r="G162" s="93"/>
      <c r="H162" s="93"/>
      <c r="I162" s="184">
        <f>12+360+240+2+201</f>
        <v>815</v>
      </c>
      <c r="J162" s="11">
        <v>-1117</v>
      </c>
      <c r="K162" s="11">
        <v>314</v>
      </c>
      <c r="L162" s="95">
        <f t="shared" si="33"/>
        <v>12</v>
      </c>
      <c r="M162" s="96"/>
      <c r="N162" s="94">
        <f t="shared" si="31"/>
        <v>12</v>
      </c>
      <c r="O162" s="11"/>
      <c r="P162" s="79">
        <v>12</v>
      </c>
      <c r="Q162" s="97">
        <f t="shared" si="34"/>
        <v>0</v>
      </c>
      <c r="R162" s="2">
        <f t="shared" si="26"/>
        <v>0</v>
      </c>
      <c r="S162" s="2">
        <f t="shared" si="27"/>
        <v>0</v>
      </c>
      <c r="T162" s="2">
        <f t="shared" si="28"/>
        <v>0</v>
      </c>
      <c r="U162" s="2"/>
      <c r="V162" s="2"/>
      <c r="W162" s="2"/>
      <c r="X162" s="2"/>
      <c r="Y162" s="2"/>
      <c r="Z162" s="128"/>
      <c r="AA162" s="128"/>
      <c r="AB162" s="128"/>
      <c r="AC162" s="128"/>
      <c r="AD162" s="128"/>
      <c r="AE162" s="128"/>
      <c r="AF162" s="128"/>
      <c r="AG162" s="128"/>
    </row>
    <row r="163" spans="1:33" s="141" customFormat="1" ht="12" customHeight="1" x14ac:dyDescent="0.2">
      <c r="A163" s="121">
        <v>2013</v>
      </c>
      <c r="B163" s="121" t="s">
        <v>400</v>
      </c>
      <c r="C163" s="11" t="s">
        <v>217</v>
      </c>
      <c r="D163" s="60" t="s">
        <v>249</v>
      </c>
      <c r="E163" s="79">
        <v>28</v>
      </c>
      <c r="F163" s="93">
        <v>300</v>
      </c>
      <c r="G163" s="93"/>
      <c r="H163" s="93"/>
      <c r="I163" s="184">
        <v>-10</v>
      </c>
      <c r="J163" s="11"/>
      <c r="K163" s="11">
        <v>-18</v>
      </c>
      <c r="L163" s="95">
        <f t="shared" si="33"/>
        <v>0</v>
      </c>
      <c r="M163" s="96"/>
      <c r="N163" s="94">
        <f t="shared" si="31"/>
        <v>0</v>
      </c>
      <c r="O163" s="11"/>
      <c r="P163" s="79">
        <v>0</v>
      </c>
      <c r="Q163" s="97">
        <f t="shared" si="34"/>
        <v>0</v>
      </c>
      <c r="R163" s="2">
        <f t="shared" si="26"/>
        <v>0</v>
      </c>
      <c r="S163" s="2">
        <f t="shared" si="27"/>
        <v>0</v>
      </c>
      <c r="T163" s="2">
        <f t="shared" si="28"/>
        <v>0</v>
      </c>
      <c r="U163" s="2"/>
      <c r="V163" s="2"/>
      <c r="W163" s="2"/>
      <c r="X163" s="2"/>
      <c r="Y163" s="2"/>
      <c r="Z163" s="128"/>
      <c r="AA163" s="128"/>
      <c r="AB163" s="128"/>
      <c r="AC163" s="128"/>
      <c r="AD163" s="128"/>
      <c r="AE163" s="128"/>
      <c r="AF163" s="128"/>
      <c r="AG163" s="128"/>
    </row>
    <row r="164" spans="1:33" s="141" customFormat="1" ht="12" customHeight="1" x14ac:dyDescent="0.2">
      <c r="A164" s="121">
        <v>2013</v>
      </c>
      <c r="B164" s="121" t="s">
        <v>402</v>
      </c>
      <c r="C164" s="11" t="s">
        <v>220</v>
      </c>
      <c r="D164" s="60" t="s">
        <v>258</v>
      </c>
      <c r="E164" s="79">
        <v>21</v>
      </c>
      <c r="F164" s="93">
        <v>300</v>
      </c>
      <c r="G164" s="93"/>
      <c r="H164" s="93"/>
      <c r="I164" s="184">
        <v>10</v>
      </c>
      <c r="J164" s="11">
        <v>-49</v>
      </c>
      <c r="K164" s="11">
        <v>18</v>
      </c>
      <c r="L164" s="95">
        <f t="shared" si="33"/>
        <v>0</v>
      </c>
      <c r="M164" s="96"/>
      <c r="N164" s="94">
        <f t="shared" si="31"/>
        <v>0</v>
      </c>
      <c r="O164" s="11"/>
      <c r="P164" s="79">
        <v>0</v>
      </c>
      <c r="Q164" s="97">
        <f t="shared" si="34"/>
        <v>0</v>
      </c>
      <c r="R164" s="2">
        <f t="shared" si="26"/>
        <v>0</v>
      </c>
      <c r="S164" s="2">
        <f t="shared" si="27"/>
        <v>0</v>
      </c>
      <c r="T164" s="2">
        <f t="shared" si="28"/>
        <v>0</v>
      </c>
      <c r="U164" s="2"/>
      <c r="V164" s="2"/>
      <c r="W164" s="2"/>
      <c r="X164" s="2"/>
      <c r="Y164" s="2"/>
      <c r="Z164" s="128"/>
      <c r="AA164" s="128"/>
      <c r="AB164" s="128"/>
      <c r="AC164" s="128"/>
      <c r="AD164" s="128"/>
      <c r="AE164" s="128"/>
      <c r="AF164" s="128"/>
      <c r="AG164" s="128"/>
    </row>
    <row r="165" spans="1:33" s="141" customFormat="1" ht="12" customHeight="1" x14ac:dyDescent="0.2">
      <c r="A165" s="143">
        <v>2013</v>
      </c>
      <c r="B165" s="143" t="s">
        <v>231</v>
      </c>
      <c r="C165" s="124" t="s">
        <v>230</v>
      </c>
      <c r="D165" s="86" t="s">
        <v>259</v>
      </c>
      <c r="E165" s="84"/>
      <c r="F165" s="181">
        <v>75</v>
      </c>
      <c r="G165" s="182"/>
      <c r="H165" s="182"/>
      <c r="I165" s="183">
        <f>8+6+24+510+5346+162+4818+4+4422+273+10290+480+25+24+154</f>
        <v>26546</v>
      </c>
      <c r="J165" s="81">
        <v>-26384</v>
      </c>
      <c r="K165" s="81">
        <v>-72</v>
      </c>
      <c r="L165" s="95">
        <f t="shared" si="33"/>
        <v>90</v>
      </c>
      <c r="M165" s="96"/>
      <c r="N165" s="94">
        <f t="shared" si="31"/>
        <v>90</v>
      </c>
      <c r="O165" s="81"/>
      <c r="P165" s="79">
        <v>90</v>
      </c>
      <c r="Q165" s="97">
        <f t="shared" si="34"/>
        <v>0</v>
      </c>
      <c r="R165" s="2">
        <f t="shared" si="26"/>
        <v>0</v>
      </c>
      <c r="S165" s="2">
        <f t="shared" si="27"/>
        <v>0</v>
      </c>
      <c r="T165" s="2">
        <f t="shared" si="28"/>
        <v>0</v>
      </c>
      <c r="U165" s="2"/>
      <c r="V165" s="2"/>
      <c r="W165" s="2"/>
      <c r="X165" s="2"/>
      <c r="Y165" s="2"/>
      <c r="Z165" s="128"/>
      <c r="AA165" s="128"/>
      <c r="AB165" s="128"/>
      <c r="AC165" s="128"/>
      <c r="AD165" s="128"/>
      <c r="AE165" s="128"/>
      <c r="AF165" s="128"/>
      <c r="AG165" s="128"/>
    </row>
    <row r="166" spans="1:33" s="141" customFormat="1" ht="12" customHeight="1" x14ac:dyDescent="0.2">
      <c r="A166" s="121">
        <v>2013</v>
      </c>
      <c r="B166" s="121" t="s">
        <v>246</v>
      </c>
      <c r="C166" s="11" t="s">
        <v>250</v>
      </c>
      <c r="D166" s="60" t="s">
        <v>260</v>
      </c>
      <c r="E166" s="79"/>
      <c r="F166" s="93">
        <v>75</v>
      </c>
      <c r="G166" s="182"/>
      <c r="H166" s="182"/>
      <c r="I166" s="183">
        <f>8+1+129</f>
        <v>138</v>
      </c>
      <c r="J166" s="81">
        <v>-122</v>
      </c>
      <c r="K166" s="81"/>
      <c r="L166" s="95">
        <f t="shared" si="33"/>
        <v>16</v>
      </c>
      <c r="M166" s="153"/>
      <c r="N166" s="94">
        <f t="shared" si="31"/>
        <v>16</v>
      </c>
      <c r="O166" s="81"/>
      <c r="P166" s="83">
        <v>17</v>
      </c>
      <c r="Q166" s="97">
        <f t="shared" si="34"/>
        <v>-1</v>
      </c>
      <c r="R166" s="2">
        <f t="shared" si="26"/>
        <v>0</v>
      </c>
      <c r="S166" s="2">
        <f t="shared" si="27"/>
        <v>0</v>
      </c>
      <c r="T166" s="2">
        <f t="shared" si="28"/>
        <v>0</v>
      </c>
      <c r="U166" s="2"/>
      <c r="V166" s="2"/>
      <c r="W166" s="2"/>
      <c r="X166" s="2"/>
      <c r="Y166" s="2"/>
      <c r="Z166" s="128"/>
      <c r="AA166" s="128"/>
      <c r="AB166" s="128"/>
      <c r="AC166" s="128"/>
      <c r="AD166" s="128"/>
      <c r="AE166" s="128"/>
      <c r="AF166" s="128"/>
      <c r="AG166" s="128"/>
    </row>
    <row r="167" spans="1:33" s="141" customFormat="1" ht="12" customHeight="1" x14ac:dyDescent="0.2">
      <c r="A167" s="150"/>
      <c r="B167" s="150"/>
      <c r="C167" s="151"/>
      <c r="D167" s="152"/>
      <c r="E167" s="69"/>
      <c r="F167" s="69"/>
      <c r="G167" s="69"/>
      <c r="H167" s="69"/>
      <c r="I167" s="69"/>
      <c r="J167" s="69"/>
      <c r="K167" s="69"/>
      <c r="L167" s="65"/>
      <c r="M167" s="69"/>
      <c r="N167" s="69"/>
      <c r="O167" s="69"/>
      <c r="P167" s="69"/>
      <c r="Q167" s="69"/>
      <c r="R167" s="2">
        <f t="shared" si="26"/>
        <v>0</v>
      </c>
      <c r="S167" s="2">
        <f t="shared" si="27"/>
        <v>0</v>
      </c>
      <c r="T167" s="2">
        <f t="shared" si="28"/>
        <v>0</v>
      </c>
      <c r="U167" s="2"/>
      <c r="V167" s="2"/>
      <c r="W167" s="2"/>
      <c r="X167" s="2"/>
      <c r="Y167" s="2"/>
      <c r="Z167" s="128"/>
      <c r="AA167" s="128"/>
      <c r="AB167" s="128"/>
      <c r="AC167" s="128"/>
      <c r="AD167" s="128"/>
      <c r="AE167" s="128"/>
      <c r="AF167" s="128"/>
      <c r="AG167" s="128"/>
    </row>
    <row r="168" spans="1:33" s="141" customFormat="1" ht="12" customHeight="1" x14ac:dyDescent="0.2">
      <c r="A168" s="121">
        <v>2014</v>
      </c>
      <c r="B168" s="121" t="s">
        <v>411</v>
      </c>
      <c r="C168" s="11" t="s">
        <v>484</v>
      </c>
      <c r="D168" s="60" t="s">
        <v>247</v>
      </c>
      <c r="E168" s="83"/>
      <c r="F168" s="182">
        <v>75</v>
      </c>
      <c r="G168" s="182"/>
      <c r="H168" s="182">
        <v>54947</v>
      </c>
      <c r="I168" s="183">
        <f>-6945-1543-1203-1680-1830-1566-294-1182-2-600-600-5-1-3430-6187-213-601</f>
        <v>-27882</v>
      </c>
      <c r="J168" s="81">
        <v>-1</v>
      </c>
      <c r="K168" s="81">
        <v>727</v>
      </c>
      <c r="L168" s="95">
        <f t="shared" si="33"/>
        <v>27791</v>
      </c>
      <c r="M168" s="153"/>
      <c r="N168" s="94">
        <f t="shared" si="31"/>
        <v>27791</v>
      </c>
      <c r="O168" s="81">
        <v>-1688</v>
      </c>
      <c r="P168" s="83">
        <v>25575</v>
      </c>
      <c r="Q168" s="97">
        <f t="shared" si="32"/>
        <v>528</v>
      </c>
      <c r="R168" s="2">
        <f t="shared" si="26"/>
        <v>54947</v>
      </c>
      <c r="S168" s="2">
        <f t="shared" si="27"/>
        <v>0</v>
      </c>
      <c r="T168" s="2">
        <f t="shared" si="28"/>
        <v>0</v>
      </c>
      <c r="U168" s="2"/>
      <c r="V168" s="2"/>
      <c r="W168" s="2"/>
      <c r="X168" s="2"/>
      <c r="Y168" s="2"/>
      <c r="Z168" s="128"/>
      <c r="AA168" s="128"/>
      <c r="AB168" s="128"/>
      <c r="AC168" s="128"/>
      <c r="AD168" s="128"/>
      <c r="AE168" s="128"/>
      <c r="AF168" s="128"/>
      <c r="AG168" s="128"/>
    </row>
    <row r="169" spans="1:33" s="141" customFormat="1" ht="12" customHeight="1" x14ac:dyDescent="0.2">
      <c r="A169" s="121">
        <v>2014</v>
      </c>
      <c r="B169" s="121" t="s">
        <v>422</v>
      </c>
      <c r="C169" s="11" t="s">
        <v>485</v>
      </c>
      <c r="D169" s="60" t="s">
        <v>248</v>
      </c>
      <c r="E169" s="83"/>
      <c r="F169" s="182">
        <v>150</v>
      </c>
      <c r="G169" s="182"/>
      <c r="H169" s="182">
        <v>507</v>
      </c>
      <c r="I169" s="183">
        <f>-60-13-76-12-44-117-5-22</f>
        <v>-349</v>
      </c>
      <c r="J169" s="81"/>
      <c r="K169" s="81">
        <f>-98-60</f>
        <v>-158</v>
      </c>
      <c r="L169" s="95">
        <f t="shared" si="33"/>
        <v>0</v>
      </c>
      <c r="M169" s="153"/>
      <c r="N169" s="94">
        <f t="shared" si="31"/>
        <v>0</v>
      </c>
      <c r="O169" s="81"/>
      <c r="P169" s="83">
        <v>0</v>
      </c>
      <c r="Q169" s="97">
        <f t="shared" si="32"/>
        <v>0</v>
      </c>
      <c r="R169" s="2">
        <f t="shared" si="26"/>
        <v>0</v>
      </c>
      <c r="S169" s="2">
        <f t="shared" si="27"/>
        <v>507</v>
      </c>
      <c r="T169" s="2">
        <f t="shared" si="28"/>
        <v>0</v>
      </c>
      <c r="U169" s="2"/>
      <c r="V169" s="2"/>
      <c r="W169" s="2"/>
      <c r="X169" s="2"/>
      <c r="Y169" s="2"/>
      <c r="Z169" s="128"/>
      <c r="AA169" s="128"/>
      <c r="AB169" s="128"/>
      <c r="AC169" s="128"/>
      <c r="AD169" s="128"/>
      <c r="AE169" s="128"/>
      <c r="AF169" s="128"/>
      <c r="AG169" s="128"/>
    </row>
    <row r="170" spans="1:33" s="141" customFormat="1" ht="12" customHeight="1" x14ac:dyDescent="0.2">
      <c r="A170" s="121">
        <v>2014</v>
      </c>
      <c r="B170" s="121" t="s">
        <v>423</v>
      </c>
      <c r="C170" s="11" t="s">
        <v>486</v>
      </c>
      <c r="D170" s="60" t="s">
        <v>249</v>
      </c>
      <c r="E170" s="83"/>
      <c r="F170" s="182">
        <v>300</v>
      </c>
      <c r="G170" s="182"/>
      <c r="H170" s="182">
        <v>19</v>
      </c>
      <c r="I170" s="183">
        <v>-19</v>
      </c>
      <c r="J170" s="81"/>
      <c r="K170" s="81"/>
      <c r="L170" s="95">
        <f t="shared" si="33"/>
        <v>0</v>
      </c>
      <c r="M170" s="153"/>
      <c r="N170" s="94">
        <f t="shared" si="31"/>
        <v>0</v>
      </c>
      <c r="O170" s="81"/>
      <c r="P170" s="83">
        <v>0</v>
      </c>
      <c r="Q170" s="97">
        <f t="shared" si="32"/>
        <v>0</v>
      </c>
      <c r="R170" s="2">
        <f t="shared" si="26"/>
        <v>0</v>
      </c>
      <c r="S170" s="2">
        <f t="shared" si="27"/>
        <v>0</v>
      </c>
      <c r="T170" s="2">
        <f t="shared" si="28"/>
        <v>19</v>
      </c>
      <c r="U170" s="2"/>
      <c r="V170" s="2"/>
      <c r="W170" s="2"/>
      <c r="X170" s="2"/>
      <c r="Y170" s="2"/>
      <c r="Z170" s="128"/>
      <c r="AA170" s="128"/>
      <c r="AB170" s="128"/>
      <c r="AC170" s="128"/>
      <c r="AD170" s="128"/>
      <c r="AE170" s="128"/>
      <c r="AF170" s="128"/>
      <c r="AG170" s="128"/>
    </row>
    <row r="171" spans="1:33" s="141" customFormat="1" ht="12" customHeight="1" x14ac:dyDescent="0.2">
      <c r="A171" s="121">
        <v>2014</v>
      </c>
      <c r="B171" s="121" t="s">
        <v>434</v>
      </c>
      <c r="C171" s="11" t="s">
        <v>487</v>
      </c>
      <c r="D171" s="60" t="s">
        <v>457</v>
      </c>
      <c r="E171" s="83"/>
      <c r="F171" s="182">
        <v>150</v>
      </c>
      <c r="G171" s="182"/>
      <c r="H171" s="182"/>
      <c r="I171" s="183">
        <f>12+76+117+22</f>
        <v>227</v>
      </c>
      <c r="J171" s="81">
        <v>-325</v>
      </c>
      <c r="K171" s="81">
        <v>98</v>
      </c>
      <c r="L171" s="95">
        <f t="shared" si="33"/>
        <v>0</v>
      </c>
      <c r="M171" s="153"/>
      <c r="N171" s="94">
        <f t="shared" si="31"/>
        <v>0</v>
      </c>
      <c r="O171" s="81"/>
      <c r="P171" s="83">
        <v>9</v>
      </c>
      <c r="Q171" s="97">
        <f t="shared" si="32"/>
        <v>-9</v>
      </c>
      <c r="R171" s="2">
        <f t="shared" si="26"/>
        <v>0</v>
      </c>
      <c r="S171" s="2">
        <f t="shared" si="27"/>
        <v>0</v>
      </c>
      <c r="T171" s="2">
        <f t="shared" si="28"/>
        <v>0</v>
      </c>
      <c r="U171" s="2"/>
      <c r="V171" s="2"/>
      <c r="W171" s="2"/>
      <c r="X171" s="2"/>
      <c r="Y171" s="2"/>
      <c r="Z171" s="128"/>
      <c r="AA171" s="128"/>
      <c r="AB171" s="128"/>
      <c r="AC171" s="128"/>
      <c r="AD171" s="128"/>
      <c r="AE171" s="128"/>
      <c r="AF171" s="128"/>
      <c r="AG171" s="128"/>
    </row>
    <row r="172" spans="1:33" s="141" customFormat="1" ht="12" customHeight="1" x14ac:dyDescent="0.2">
      <c r="A172" s="121">
        <v>2014</v>
      </c>
      <c r="B172" s="121" t="s">
        <v>435</v>
      </c>
      <c r="C172" s="11" t="s">
        <v>488</v>
      </c>
      <c r="D172" s="60" t="s">
        <v>463</v>
      </c>
      <c r="E172" s="83"/>
      <c r="F172" s="182">
        <v>150</v>
      </c>
      <c r="G172" s="182"/>
      <c r="H172" s="182"/>
      <c r="I172" s="183">
        <v>60</v>
      </c>
      <c r="J172" s="81">
        <v>-60</v>
      </c>
      <c r="K172" s="81">
        <v>0</v>
      </c>
      <c r="L172" s="95">
        <f t="shared" si="33"/>
        <v>0</v>
      </c>
      <c r="M172" s="153"/>
      <c r="N172" s="94">
        <f t="shared" si="31"/>
        <v>0</v>
      </c>
      <c r="O172" s="81"/>
      <c r="P172" s="83">
        <v>0</v>
      </c>
      <c r="Q172" s="97">
        <f t="shared" si="32"/>
        <v>0</v>
      </c>
      <c r="R172" s="2">
        <f t="shared" si="26"/>
        <v>0</v>
      </c>
      <c r="S172" s="2">
        <f t="shared" si="27"/>
        <v>0</v>
      </c>
      <c r="T172" s="2">
        <f t="shared" si="28"/>
        <v>0</v>
      </c>
      <c r="U172" s="2"/>
      <c r="V172" s="2"/>
      <c r="W172" s="2"/>
      <c r="X172" s="2"/>
      <c r="Y172" s="2"/>
      <c r="Z172" s="128"/>
      <c r="AA172" s="128"/>
      <c r="AB172" s="128"/>
      <c r="AC172" s="128"/>
      <c r="AD172" s="128"/>
      <c r="AE172" s="128"/>
      <c r="AF172" s="128"/>
      <c r="AG172" s="128"/>
    </row>
    <row r="173" spans="1:33" s="141" customFormat="1" ht="12" customHeight="1" x14ac:dyDescent="0.2">
      <c r="A173" s="121">
        <v>2014</v>
      </c>
      <c r="B173" s="121" t="s">
        <v>436</v>
      </c>
      <c r="C173" s="11" t="s">
        <v>489</v>
      </c>
      <c r="D173" s="60" t="s">
        <v>459</v>
      </c>
      <c r="E173" s="83"/>
      <c r="F173" s="182">
        <v>300</v>
      </c>
      <c r="G173" s="182"/>
      <c r="H173" s="182"/>
      <c r="I173" s="183">
        <f>1+18</f>
        <v>19</v>
      </c>
      <c r="J173" s="81">
        <f>-76/4</f>
        <v>-19</v>
      </c>
      <c r="K173" s="81"/>
      <c r="L173" s="95">
        <f t="shared" si="33"/>
        <v>0</v>
      </c>
      <c r="M173" s="153"/>
      <c r="N173" s="94">
        <f t="shared" si="31"/>
        <v>0</v>
      </c>
      <c r="O173" s="81"/>
      <c r="P173" s="83">
        <v>0</v>
      </c>
      <c r="Q173" s="97">
        <f t="shared" si="32"/>
        <v>0</v>
      </c>
      <c r="R173" s="2">
        <f t="shared" si="26"/>
        <v>0</v>
      </c>
      <c r="S173" s="2">
        <f t="shared" si="27"/>
        <v>0</v>
      </c>
      <c r="T173" s="2">
        <f t="shared" si="28"/>
        <v>0</v>
      </c>
      <c r="U173" s="2"/>
      <c r="V173" s="2"/>
      <c r="W173" s="2"/>
      <c r="X173" s="2"/>
      <c r="Y173" s="2"/>
      <c r="Z173" s="128"/>
      <c r="AA173" s="128"/>
      <c r="AB173" s="128"/>
      <c r="AC173" s="128"/>
      <c r="AD173" s="128"/>
      <c r="AE173" s="128"/>
      <c r="AF173" s="128"/>
      <c r="AG173" s="128"/>
    </row>
    <row r="174" spans="1:33" s="141" customFormat="1" ht="12" customHeight="1" x14ac:dyDescent="0.2">
      <c r="A174" s="121">
        <v>2014</v>
      </c>
      <c r="B174" s="121" t="s">
        <v>442</v>
      </c>
      <c r="C174" s="11" t="s">
        <v>490</v>
      </c>
      <c r="D174" s="60" t="s">
        <v>462</v>
      </c>
      <c r="E174" s="83"/>
      <c r="F174" s="182">
        <v>150</v>
      </c>
      <c r="G174" s="182"/>
      <c r="H174" s="182"/>
      <c r="I174" s="183">
        <f>13+5</f>
        <v>18</v>
      </c>
      <c r="J174" s="81">
        <v>-108</v>
      </c>
      <c r="K174" s="81">
        <v>60</v>
      </c>
      <c r="L174" s="95">
        <f t="shared" si="33"/>
        <v>-30</v>
      </c>
      <c r="M174" s="153"/>
      <c r="N174" s="94">
        <f t="shared" si="31"/>
        <v>-30</v>
      </c>
      <c r="O174" s="81"/>
      <c r="P174" s="83">
        <v>0</v>
      </c>
      <c r="Q174" s="97">
        <f t="shared" si="32"/>
        <v>-30</v>
      </c>
      <c r="R174" s="2">
        <f t="shared" si="26"/>
        <v>0</v>
      </c>
      <c r="S174" s="2">
        <f t="shared" si="27"/>
        <v>0</v>
      </c>
      <c r="T174" s="2">
        <f t="shared" si="28"/>
        <v>0</v>
      </c>
      <c r="U174" s="2"/>
      <c r="V174" s="2"/>
      <c r="W174" s="2"/>
      <c r="X174" s="2"/>
      <c r="Y174" s="2"/>
      <c r="Z174" s="128"/>
      <c r="AA174" s="128"/>
      <c r="AB174" s="128"/>
      <c r="AC174" s="128"/>
      <c r="AD174" s="128"/>
      <c r="AE174" s="128"/>
      <c r="AF174" s="128"/>
      <c r="AG174" s="128"/>
    </row>
    <row r="175" spans="1:33" s="141" customFormat="1" ht="12" customHeight="1" x14ac:dyDescent="0.2">
      <c r="A175" s="121">
        <v>2014</v>
      </c>
      <c r="B175" s="121" t="s">
        <v>432</v>
      </c>
      <c r="C175" s="11" t="s">
        <v>491</v>
      </c>
      <c r="D175" s="60" t="s">
        <v>458</v>
      </c>
      <c r="E175" s="83"/>
      <c r="F175" s="182">
        <v>75</v>
      </c>
      <c r="G175" s="182"/>
      <c r="H175" s="182"/>
      <c r="I175" s="183">
        <f>2+336+2+342+1+522+6+6+6+2+318+1182+2+600+600+5+1</f>
        <v>3933</v>
      </c>
      <c r="J175" s="81">
        <v>-3537</v>
      </c>
      <c r="K175" s="81"/>
      <c r="L175" s="95">
        <f t="shared" si="33"/>
        <v>396</v>
      </c>
      <c r="M175" s="153"/>
      <c r="N175" s="94">
        <f t="shared" si="31"/>
        <v>396</v>
      </c>
      <c r="O175" s="81"/>
      <c r="P175" s="83">
        <v>396</v>
      </c>
      <c r="Q175" s="97">
        <f t="shared" si="32"/>
        <v>0</v>
      </c>
      <c r="R175" s="2">
        <f t="shared" si="26"/>
        <v>0</v>
      </c>
      <c r="S175" s="2">
        <f t="shared" si="27"/>
        <v>0</v>
      </c>
      <c r="T175" s="2">
        <f t="shared" si="28"/>
        <v>0</v>
      </c>
      <c r="U175" s="2"/>
      <c r="V175" s="2"/>
      <c r="W175" s="2"/>
      <c r="X175" s="2"/>
      <c r="Y175" s="2"/>
      <c r="Z175" s="128"/>
      <c r="AA175" s="128"/>
      <c r="AB175" s="128"/>
      <c r="AC175" s="128"/>
      <c r="AD175" s="128"/>
      <c r="AE175" s="128"/>
      <c r="AF175" s="128"/>
      <c r="AG175" s="128"/>
    </row>
    <row r="176" spans="1:33" s="141" customFormat="1" ht="12" customHeight="1" x14ac:dyDescent="0.2">
      <c r="A176" s="121">
        <v>2014</v>
      </c>
      <c r="B176" s="121" t="s">
        <v>431</v>
      </c>
      <c r="C176" s="11" t="s">
        <v>492</v>
      </c>
      <c r="D176" s="60" t="s">
        <v>461</v>
      </c>
      <c r="E176" s="83"/>
      <c r="F176" s="182">
        <v>75</v>
      </c>
      <c r="G176" s="182"/>
      <c r="H176" s="182"/>
      <c r="I176" s="183">
        <f>6+3+523+548+108+492+3430</f>
        <v>5110</v>
      </c>
      <c r="J176" s="81">
        <v>-3091</v>
      </c>
      <c r="K176" s="81">
        <v>-573</v>
      </c>
      <c r="L176" s="95">
        <f t="shared" si="33"/>
        <v>1446</v>
      </c>
      <c r="M176" s="153"/>
      <c r="N176" s="94">
        <f t="shared" si="31"/>
        <v>1446</v>
      </c>
      <c r="O176" s="81"/>
      <c r="P176" s="83">
        <v>1446</v>
      </c>
      <c r="Q176" s="97">
        <f t="shared" si="32"/>
        <v>0</v>
      </c>
      <c r="R176" s="2">
        <f t="shared" si="26"/>
        <v>0</v>
      </c>
      <c r="S176" s="2">
        <f t="shared" si="27"/>
        <v>0</v>
      </c>
      <c r="T176" s="2">
        <f t="shared" si="28"/>
        <v>0</v>
      </c>
      <c r="U176" s="2"/>
      <c r="V176" s="2"/>
      <c r="W176" s="2"/>
      <c r="X176" s="2"/>
      <c r="Y176" s="2"/>
      <c r="Z176" s="128"/>
      <c r="AA176" s="128"/>
      <c r="AB176" s="128"/>
      <c r="AC176" s="128"/>
      <c r="AD176" s="128"/>
      <c r="AE176" s="128"/>
      <c r="AF176" s="128"/>
      <c r="AG176" s="128"/>
    </row>
    <row r="177" spans="1:33" s="141" customFormat="1" ht="12" customHeight="1" x14ac:dyDescent="0.2">
      <c r="A177" s="121">
        <v>2014</v>
      </c>
      <c r="B177" s="121" t="s">
        <v>412</v>
      </c>
      <c r="C177" s="11" t="s">
        <v>493</v>
      </c>
      <c r="D177" s="60" t="s">
        <v>460</v>
      </c>
      <c r="E177" s="83"/>
      <c r="F177" s="182">
        <v>75</v>
      </c>
      <c r="G177" s="182"/>
      <c r="H177" s="182"/>
      <c r="I177" s="183">
        <f>18+3+30+15+1908+41+800+354+2400+1376+1203+1830+1566+291+6187+213+601</f>
        <v>18836</v>
      </c>
      <c r="J177" s="81">
        <v>-18190</v>
      </c>
      <c r="K177" s="81">
        <v>-154</v>
      </c>
      <c r="L177" s="95">
        <f t="shared" si="33"/>
        <v>492</v>
      </c>
      <c r="M177" s="153"/>
      <c r="N177" s="94">
        <f t="shared" si="31"/>
        <v>492</v>
      </c>
      <c r="O177" s="81">
        <v>1688</v>
      </c>
      <c r="P177" s="83">
        <f>492+74+1014+600</f>
        <v>2180</v>
      </c>
      <c r="Q177" s="97">
        <f t="shared" si="32"/>
        <v>0</v>
      </c>
      <c r="R177" s="2">
        <f t="shared" si="26"/>
        <v>0</v>
      </c>
      <c r="S177" s="2">
        <f t="shared" si="27"/>
        <v>0</v>
      </c>
      <c r="T177" s="2">
        <f t="shared" si="28"/>
        <v>0</v>
      </c>
      <c r="U177" s="2"/>
      <c r="V177" s="2"/>
      <c r="W177" s="2"/>
      <c r="X177" s="2"/>
      <c r="Y177" s="2"/>
      <c r="Z177" s="128"/>
      <c r="AA177" s="128"/>
      <c r="AB177" s="128"/>
      <c r="AC177" s="128"/>
      <c r="AD177" s="128"/>
      <c r="AE177" s="128"/>
      <c r="AF177" s="128"/>
      <c r="AG177" s="128"/>
    </row>
    <row r="178" spans="1:33" x14ac:dyDescent="0.2">
      <c r="A178" s="154"/>
      <c r="B178" s="154"/>
      <c r="C178" s="155"/>
      <c r="D178" s="156"/>
      <c r="E178" s="80">
        <f>SUM(E3:E177)</f>
        <v>564733</v>
      </c>
      <c r="F178" s="157" t="s">
        <v>106</v>
      </c>
      <c r="G178" s="80">
        <f t="shared" ref="G178:P178" si="38">+SUM(G3:G177)</f>
        <v>0</v>
      </c>
      <c r="H178" s="80">
        <f>+SUM(H3:H177)</f>
        <v>387457</v>
      </c>
      <c r="I178" s="185">
        <f>+SUM(I3:I177)</f>
        <v>-3</v>
      </c>
      <c r="J178" s="80">
        <f>+SUM(J3:J177)</f>
        <v>-240997</v>
      </c>
      <c r="K178" s="80">
        <f t="shared" si="38"/>
        <v>-1</v>
      </c>
      <c r="L178" s="80">
        <f>+SUM(L3:L177)</f>
        <v>711189</v>
      </c>
      <c r="M178" s="80">
        <f t="shared" si="38"/>
        <v>0</v>
      </c>
      <c r="N178" s="80">
        <f t="shared" si="38"/>
        <v>711195</v>
      </c>
      <c r="O178" s="80">
        <f t="shared" si="38"/>
        <v>0</v>
      </c>
      <c r="P178" s="158">
        <f t="shared" si="38"/>
        <v>709570</v>
      </c>
      <c r="Q178" s="94">
        <f>+SUM(Q3:Q177)</f>
        <v>1619</v>
      </c>
      <c r="R178" s="2">
        <f t="shared" si="26"/>
        <v>0</v>
      </c>
      <c r="S178" s="2">
        <f t="shared" si="27"/>
        <v>0</v>
      </c>
      <c r="T178" s="2">
        <f t="shared" si="28"/>
        <v>0</v>
      </c>
    </row>
    <row r="179" spans="1:33" ht="38.25" x14ac:dyDescent="0.2">
      <c r="A179" s="154"/>
      <c r="B179" s="154"/>
      <c r="C179" s="155"/>
      <c r="D179" s="156"/>
      <c r="F179" s="46">
        <v>75</v>
      </c>
      <c r="G179" s="46"/>
      <c r="H179" s="159">
        <f>R179</f>
        <v>383897</v>
      </c>
      <c r="I179" s="186" t="s">
        <v>91</v>
      </c>
      <c r="J179" s="70" t="s">
        <v>92</v>
      </c>
      <c r="P179" s="2" t="s">
        <v>186</v>
      </c>
      <c r="R179" s="2">
        <f>+SUM(R3:R178)</f>
        <v>383897</v>
      </c>
      <c r="S179" s="2">
        <f>+SUM(S3:S178)</f>
        <v>3511</v>
      </c>
      <c r="T179" s="2">
        <f>+SUM(T3:T178)</f>
        <v>49</v>
      </c>
    </row>
    <row r="180" spans="1:33" x14ac:dyDescent="0.2">
      <c r="A180" s="154"/>
      <c r="B180" s="154"/>
      <c r="C180" s="155"/>
      <c r="D180" s="156"/>
      <c r="F180" s="46">
        <v>150</v>
      </c>
      <c r="G180" s="46"/>
      <c r="H180" s="159">
        <f>S179</f>
        <v>3511</v>
      </c>
      <c r="I180" s="125"/>
      <c r="J180" s="71"/>
    </row>
    <row r="181" spans="1:33" x14ac:dyDescent="0.2">
      <c r="F181" s="46">
        <v>300</v>
      </c>
      <c r="G181" s="46"/>
      <c r="H181" s="159">
        <f>T179</f>
        <v>49</v>
      </c>
      <c r="I181" s="161"/>
      <c r="J181" s="71"/>
      <c r="K181" s="2">
        <f>93924-60</f>
        <v>93864</v>
      </c>
    </row>
    <row r="182" spans="1:33" x14ac:dyDescent="0.2">
      <c r="F182" s="46" t="s">
        <v>105</v>
      </c>
      <c r="G182" s="46"/>
      <c r="H182" s="162">
        <f>H179/133+H180/67+H181/33</f>
        <v>2940.3314425820317</v>
      </c>
      <c r="I182" s="163"/>
      <c r="J182" s="72"/>
    </row>
    <row r="184" spans="1:33" x14ac:dyDescent="0.2">
      <c r="E184" s="164" t="s">
        <v>108</v>
      </c>
      <c r="F184" s="165"/>
      <c r="G184" s="165"/>
      <c r="H184" s="166"/>
      <c r="L184" s="2" t="s">
        <v>188</v>
      </c>
    </row>
    <row r="185" spans="1:33" x14ac:dyDescent="0.2">
      <c r="E185" s="167" t="s">
        <v>109</v>
      </c>
      <c r="F185" s="63"/>
      <c r="G185" s="63"/>
      <c r="H185" s="63"/>
      <c r="I185" s="96" t="s">
        <v>116</v>
      </c>
      <c r="J185" s="63">
        <v>2006</v>
      </c>
      <c r="K185" s="63">
        <v>2007</v>
      </c>
      <c r="L185" s="63">
        <v>2008</v>
      </c>
      <c r="M185" s="63">
        <v>2009</v>
      </c>
      <c r="N185" s="63">
        <v>2010</v>
      </c>
      <c r="O185" s="63">
        <v>2011</v>
      </c>
      <c r="P185" s="63">
        <v>2012</v>
      </c>
      <c r="Q185" s="63">
        <v>2013</v>
      </c>
    </row>
    <row r="186" spans="1:33" x14ac:dyDescent="0.2">
      <c r="E186" s="187" t="s">
        <v>110</v>
      </c>
      <c r="F186" s="188"/>
      <c r="G186" s="188"/>
      <c r="H186" s="189"/>
      <c r="I186" s="168">
        <f>SUM(J186:P186)</f>
        <v>0</v>
      </c>
      <c r="J186" s="63"/>
      <c r="K186" s="169"/>
      <c r="L186" s="169"/>
      <c r="M186" s="169"/>
      <c r="N186" s="169"/>
      <c r="O186" s="169"/>
      <c r="P186" s="169"/>
      <c r="Q186" s="169"/>
      <c r="R186" s="170"/>
    </row>
    <row r="187" spans="1:33" x14ac:dyDescent="0.2">
      <c r="E187" s="187" t="s">
        <v>111</v>
      </c>
      <c r="F187" s="188"/>
      <c r="G187" s="188"/>
      <c r="H187" s="189"/>
      <c r="I187" s="168">
        <f t="shared" ref="I187:I191" si="39">SUM(J187:P187)</f>
        <v>0</v>
      </c>
      <c r="J187" s="63"/>
      <c r="K187" s="169"/>
      <c r="L187" s="169"/>
      <c r="M187" s="169"/>
      <c r="N187" s="169"/>
      <c r="O187" s="169"/>
      <c r="P187" s="169"/>
      <c r="Q187" s="169"/>
      <c r="R187" s="170"/>
    </row>
    <row r="188" spans="1:33" x14ac:dyDescent="0.2">
      <c r="E188" s="187" t="s">
        <v>112</v>
      </c>
      <c r="F188" s="188"/>
      <c r="G188" s="188"/>
      <c r="H188" s="189"/>
      <c r="I188" s="168">
        <f t="shared" si="39"/>
        <v>0</v>
      </c>
      <c r="J188" s="63"/>
      <c r="K188" s="169"/>
      <c r="L188" s="169"/>
      <c r="M188" s="169"/>
      <c r="N188" s="169"/>
      <c r="O188" s="169"/>
      <c r="P188" s="169"/>
      <c r="Q188" s="169"/>
      <c r="R188" s="170"/>
    </row>
    <row r="189" spans="1:33" x14ac:dyDescent="0.2">
      <c r="E189" s="187" t="s">
        <v>113</v>
      </c>
      <c r="F189" s="188"/>
      <c r="G189" s="188"/>
      <c r="H189" s="189"/>
      <c r="I189" s="168">
        <f t="shared" si="39"/>
        <v>0</v>
      </c>
      <c r="J189" s="63"/>
      <c r="K189" s="169"/>
      <c r="L189" s="169"/>
      <c r="M189" s="169"/>
      <c r="N189" s="169"/>
      <c r="O189" s="169"/>
      <c r="P189" s="169"/>
      <c r="Q189" s="169"/>
      <c r="R189" s="170"/>
    </row>
    <row r="190" spans="1:33" x14ac:dyDescent="0.2">
      <c r="E190" s="187" t="s">
        <v>114</v>
      </c>
      <c r="F190" s="188"/>
      <c r="G190" s="188"/>
      <c r="H190" s="189"/>
      <c r="I190" s="168">
        <f t="shared" si="39"/>
        <v>0</v>
      </c>
      <c r="J190" s="63"/>
      <c r="K190" s="169"/>
      <c r="L190" s="169"/>
      <c r="M190" s="169"/>
      <c r="N190" s="169"/>
      <c r="O190" s="169"/>
      <c r="P190" s="169"/>
      <c r="Q190" s="169"/>
      <c r="R190" s="170"/>
    </row>
    <row r="191" spans="1:33" x14ac:dyDescent="0.2">
      <c r="E191" s="187" t="s">
        <v>115</v>
      </c>
      <c r="F191" s="188"/>
      <c r="G191" s="188"/>
      <c r="H191" s="189"/>
      <c r="I191" s="168">
        <f t="shared" si="39"/>
        <v>0</v>
      </c>
      <c r="J191" s="63"/>
      <c r="K191" s="169"/>
      <c r="L191" s="169"/>
      <c r="M191" s="169"/>
      <c r="N191" s="169"/>
      <c r="O191" s="169"/>
      <c r="P191" s="169"/>
      <c r="Q191" s="169"/>
      <c r="R191" s="170"/>
    </row>
    <row r="192" spans="1:33" x14ac:dyDescent="0.2">
      <c r="H192" s="63" t="s">
        <v>116</v>
      </c>
      <c r="I192" s="168">
        <f t="shared" ref="I192:P192" si="40">SUM(I186:I191)</f>
        <v>0</v>
      </c>
      <c r="J192" s="63">
        <f t="shared" si="40"/>
        <v>0</v>
      </c>
      <c r="K192" s="169">
        <f>SUM(K186:K191)</f>
        <v>0</v>
      </c>
      <c r="L192" s="169">
        <f t="shared" si="40"/>
        <v>0</v>
      </c>
      <c r="M192" s="169">
        <f t="shared" si="40"/>
        <v>0</v>
      </c>
      <c r="N192" s="169">
        <f t="shared" si="40"/>
        <v>0</v>
      </c>
      <c r="O192" s="169">
        <f t="shared" si="40"/>
        <v>0</v>
      </c>
      <c r="P192" s="169">
        <f t="shared" si="40"/>
        <v>0</v>
      </c>
      <c r="Q192" s="169">
        <f t="shared" ref="Q192" si="41">SUM(Q186:Q191)</f>
        <v>0</v>
      </c>
      <c r="R192" s="149">
        <f>SUM(J192:Q192)</f>
        <v>0</v>
      </c>
    </row>
    <row r="195" spans="5:18" x14ac:dyDescent="0.2">
      <c r="E195" s="171" t="s">
        <v>122</v>
      </c>
      <c r="F195" s="165"/>
      <c r="G195" s="165"/>
      <c r="H195" s="166"/>
    </row>
    <row r="196" spans="5:18" x14ac:dyDescent="0.2">
      <c r="E196" s="167" t="s">
        <v>123</v>
      </c>
      <c r="F196" s="63"/>
      <c r="G196" s="63"/>
      <c r="H196" s="63"/>
      <c r="I196" s="114" t="s">
        <v>116</v>
      </c>
      <c r="J196" s="63">
        <v>2006</v>
      </c>
      <c r="K196" s="63">
        <v>2007</v>
      </c>
      <c r="L196" s="63">
        <v>2008</v>
      </c>
      <c r="M196" s="63">
        <v>2009</v>
      </c>
      <c r="N196" s="63">
        <v>2010</v>
      </c>
      <c r="O196" s="63">
        <v>2011</v>
      </c>
      <c r="P196" s="63">
        <v>2012</v>
      </c>
      <c r="Q196" s="63">
        <v>2013</v>
      </c>
    </row>
    <row r="197" spans="5:18" x14ac:dyDescent="0.2">
      <c r="E197" s="187" t="s">
        <v>180</v>
      </c>
      <c r="F197" s="188"/>
      <c r="G197" s="188"/>
      <c r="H197" s="189"/>
      <c r="I197" s="114">
        <f>SUM(J197:P197)</f>
        <v>0</v>
      </c>
      <c r="J197" s="63"/>
      <c r="K197" s="63"/>
      <c r="L197" s="63"/>
      <c r="M197" s="63"/>
      <c r="N197" s="63"/>
      <c r="O197" s="63"/>
      <c r="P197" s="63"/>
      <c r="Q197" s="63"/>
    </row>
    <row r="198" spans="5:18" x14ac:dyDescent="0.2">
      <c r="E198" s="187" t="s">
        <v>117</v>
      </c>
      <c r="F198" s="188"/>
      <c r="G198" s="188"/>
      <c r="H198" s="189"/>
      <c r="I198" s="114">
        <f t="shared" ref="I198:I202" si="42">SUM(J198:P198)</f>
        <v>0</v>
      </c>
      <c r="J198" s="63"/>
      <c r="K198" s="63"/>
      <c r="L198" s="63"/>
      <c r="M198" s="63"/>
      <c r="N198" s="63"/>
      <c r="O198" s="63"/>
      <c r="P198" s="63"/>
      <c r="Q198" s="63"/>
    </row>
    <row r="199" spans="5:18" x14ac:dyDescent="0.2">
      <c r="E199" s="187" t="s">
        <v>118</v>
      </c>
      <c r="F199" s="188"/>
      <c r="G199" s="188"/>
      <c r="H199" s="189"/>
      <c r="I199" s="114">
        <f t="shared" si="42"/>
        <v>0</v>
      </c>
      <c r="J199" s="63"/>
      <c r="K199" s="63"/>
      <c r="L199" s="63"/>
      <c r="M199" s="63"/>
      <c r="N199" s="63"/>
      <c r="O199" s="63"/>
      <c r="P199" s="63"/>
      <c r="Q199" s="63"/>
    </row>
    <row r="200" spans="5:18" x14ac:dyDescent="0.2">
      <c r="E200" s="187" t="s">
        <v>119</v>
      </c>
      <c r="F200" s="188"/>
      <c r="G200" s="188"/>
      <c r="H200" s="189"/>
      <c r="I200" s="114">
        <f t="shared" si="42"/>
        <v>0</v>
      </c>
      <c r="J200" s="63"/>
      <c r="K200" s="63"/>
      <c r="L200" s="63"/>
      <c r="M200" s="63"/>
      <c r="N200" s="63"/>
      <c r="O200" s="63"/>
      <c r="P200" s="63"/>
      <c r="Q200" s="63"/>
    </row>
    <row r="201" spans="5:18" x14ac:dyDescent="0.2">
      <c r="E201" s="187" t="s">
        <v>120</v>
      </c>
      <c r="F201" s="188"/>
      <c r="G201" s="188"/>
      <c r="H201" s="189"/>
      <c r="I201" s="114">
        <f t="shared" si="42"/>
        <v>0</v>
      </c>
      <c r="J201" s="63"/>
      <c r="K201" s="63"/>
      <c r="L201" s="63"/>
      <c r="M201" s="63"/>
      <c r="N201" s="63"/>
      <c r="O201" s="63"/>
      <c r="P201" s="63"/>
      <c r="Q201" s="63"/>
    </row>
    <row r="202" spans="5:18" x14ac:dyDescent="0.2">
      <c r="E202" s="187" t="s">
        <v>121</v>
      </c>
      <c r="F202" s="188"/>
      <c r="G202" s="188"/>
      <c r="H202" s="189"/>
      <c r="I202" s="114">
        <f t="shared" si="42"/>
        <v>0</v>
      </c>
      <c r="J202" s="63"/>
      <c r="K202" s="63"/>
      <c r="L202" s="63"/>
      <c r="M202" s="63"/>
      <c r="N202" s="63"/>
      <c r="O202" s="63"/>
      <c r="P202" s="63"/>
      <c r="Q202" s="63"/>
    </row>
    <row r="203" spans="5:18" x14ac:dyDescent="0.2">
      <c r="H203" s="63" t="s">
        <v>116</v>
      </c>
      <c r="I203" s="114">
        <f t="shared" ref="I203:P203" si="43">SUM(I197:I202)</f>
        <v>0</v>
      </c>
      <c r="J203" s="63">
        <f t="shared" si="43"/>
        <v>0</v>
      </c>
      <c r="K203" s="63">
        <f t="shared" si="43"/>
        <v>0</v>
      </c>
      <c r="L203" s="63">
        <f t="shared" si="43"/>
        <v>0</v>
      </c>
      <c r="M203" s="63">
        <f t="shared" si="43"/>
        <v>0</v>
      </c>
      <c r="N203" s="63">
        <f t="shared" si="43"/>
        <v>0</v>
      </c>
      <c r="O203" s="63">
        <f t="shared" si="43"/>
        <v>0</v>
      </c>
      <c r="P203" s="63">
        <f t="shared" si="43"/>
        <v>0</v>
      </c>
      <c r="Q203" s="63">
        <f t="shared" ref="Q203" si="44">SUM(Q197:Q202)</f>
        <v>0</v>
      </c>
      <c r="R203" s="64">
        <f>SUM(J203:Q203)</f>
        <v>0</v>
      </c>
    </row>
  </sheetData>
  <mergeCells count="13">
    <mergeCell ref="I1:K1"/>
    <mergeCell ref="E186:H186"/>
    <mergeCell ref="E187:H187"/>
    <mergeCell ref="E188:H188"/>
    <mergeCell ref="E189:H189"/>
    <mergeCell ref="E200:H200"/>
    <mergeCell ref="E201:H201"/>
    <mergeCell ref="E202:H202"/>
    <mergeCell ref="E190:H190"/>
    <mergeCell ref="E191:H191"/>
    <mergeCell ref="E197:H197"/>
    <mergeCell ref="E198:H198"/>
    <mergeCell ref="E199:H199"/>
  </mergeCells>
  <pageMargins left="0.70866141732283472" right="0.70866141732283472" top="0.74803149606299213" bottom="0.74803149606299213" header="0.31496062992125984" footer="0.31496062992125984"/>
  <pageSetup paperSize="8" scale="80" fitToHeight="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tabSelected="1" workbookViewId="0">
      <selection activeCell="K25" sqref="K25"/>
    </sheetView>
  </sheetViews>
  <sheetFormatPr baseColWidth="10" defaultRowHeight="12.75" x14ac:dyDescent="0.2"/>
  <cols>
    <col min="1" max="1" width="9.7109375" bestFit="1" customWidth="1"/>
    <col min="2" max="2" width="17.140625" bestFit="1" customWidth="1"/>
    <col min="3" max="3" width="13.140625" customWidth="1"/>
    <col min="4" max="4" width="21.5703125" customWidth="1"/>
    <col min="5" max="5" width="15.140625" customWidth="1"/>
    <col min="6" max="6" width="11.5703125" bestFit="1" customWidth="1"/>
    <col min="7" max="9" width="11.5703125" customWidth="1"/>
    <col min="10" max="10" width="13.140625" customWidth="1"/>
    <col min="11" max="11" width="14.42578125" bestFit="1" customWidth="1"/>
    <col min="12" max="12" width="18.28515625" customWidth="1"/>
    <col min="13" max="13" width="13.85546875" customWidth="1"/>
    <col min="14" max="14" width="19.42578125" customWidth="1"/>
    <col min="15" max="15" width="15.5703125" customWidth="1"/>
    <col min="260" max="260" width="9.7109375" bestFit="1" customWidth="1"/>
    <col min="261" max="261" width="17.140625" bestFit="1" customWidth="1"/>
    <col min="262" max="262" width="13.140625" customWidth="1"/>
    <col min="263" max="263" width="21.5703125" customWidth="1"/>
    <col min="264" max="264" width="15.140625" customWidth="1"/>
    <col min="265" max="265" width="11.5703125" bestFit="1" customWidth="1"/>
    <col min="266" max="266" width="13.140625" customWidth="1"/>
    <col min="267" max="267" width="12.85546875" bestFit="1" customWidth="1"/>
    <col min="268" max="268" width="18.28515625" customWidth="1"/>
    <col min="269" max="269" width="13.85546875" customWidth="1"/>
    <col min="270" max="270" width="19.42578125" customWidth="1"/>
    <col min="271" max="271" width="15.5703125" customWidth="1"/>
    <col min="516" max="516" width="9.7109375" bestFit="1" customWidth="1"/>
    <col min="517" max="517" width="17.140625" bestFit="1" customWidth="1"/>
    <col min="518" max="518" width="13.140625" customWidth="1"/>
    <col min="519" max="519" width="21.5703125" customWidth="1"/>
    <col min="520" max="520" width="15.140625" customWidth="1"/>
    <col min="521" max="521" width="11.5703125" bestFit="1" customWidth="1"/>
    <col min="522" max="522" width="13.140625" customWidth="1"/>
    <col min="523" max="523" width="12.85546875" bestFit="1" customWidth="1"/>
    <col min="524" max="524" width="18.28515625" customWidth="1"/>
    <col min="525" max="525" width="13.85546875" customWidth="1"/>
    <col min="526" max="526" width="19.42578125" customWidth="1"/>
    <col min="527" max="527" width="15.5703125" customWidth="1"/>
    <col min="772" max="772" width="9.7109375" bestFit="1" customWidth="1"/>
    <col min="773" max="773" width="17.140625" bestFit="1" customWidth="1"/>
    <col min="774" max="774" width="13.140625" customWidth="1"/>
    <col min="775" max="775" width="21.5703125" customWidth="1"/>
    <col min="776" max="776" width="15.140625" customWidth="1"/>
    <col min="777" max="777" width="11.5703125" bestFit="1" customWidth="1"/>
    <col min="778" max="778" width="13.140625" customWidth="1"/>
    <col min="779" max="779" width="12.85546875" bestFit="1" customWidth="1"/>
    <col min="780" max="780" width="18.28515625" customWidth="1"/>
    <col min="781" max="781" width="13.85546875" customWidth="1"/>
    <col min="782" max="782" width="19.42578125" customWidth="1"/>
    <col min="783" max="783" width="15.5703125" customWidth="1"/>
    <col min="1028" max="1028" width="9.7109375" bestFit="1" customWidth="1"/>
    <col min="1029" max="1029" width="17.140625" bestFit="1" customWidth="1"/>
    <col min="1030" max="1030" width="13.140625" customWidth="1"/>
    <col min="1031" max="1031" width="21.5703125" customWidth="1"/>
    <col min="1032" max="1032" width="15.140625" customWidth="1"/>
    <col min="1033" max="1033" width="11.5703125" bestFit="1" customWidth="1"/>
    <col min="1034" max="1034" width="13.140625" customWidth="1"/>
    <col min="1035" max="1035" width="12.85546875" bestFit="1" customWidth="1"/>
    <col min="1036" max="1036" width="18.28515625" customWidth="1"/>
    <col min="1037" max="1037" width="13.85546875" customWidth="1"/>
    <col min="1038" max="1038" width="19.42578125" customWidth="1"/>
    <col min="1039" max="1039" width="15.5703125" customWidth="1"/>
    <col min="1284" max="1284" width="9.7109375" bestFit="1" customWidth="1"/>
    <col min="1285" max="1285" width="17.140625" bestFit="1" customWidth="1"/>
    <col min="1286" max="1286" width="13.140625" customWidth="1"/>
    <col min="1287" max="1287" width="21.5703125" customWidth="1"/>
    <col min="1288" max="1288" width="15.140625" customWidth="1"/>
    <col min="1289" max="1289" width="11.5703125" bestFit="1" customWidth="1"/>
    <col min="1290" max="1290" width="13.140625" customWidth="1"/>
    <col min="1291" max="1291" width="12.85546875" bestFit="1" customWidth="1"/>
    <col min="1292" max="1292" width="18.28515625" customWidth="1"/>
    <col min="1293" max="1293" width="13.85546875" customWidth="1"/>
    <col min="1294" max="1294" width="19.42578125" customWidth="1"/>
    <col min="1295" max="1295" width="15.5703125" customWidth="1"/>
    <col min="1540" max="1540" width="9.7109375" bestFit="1" customWidth="1"/>
    <col min="1541" max="1541" width="17.140625" bestFit="1" customWidth="1"/>
    <col min="1542" max="1542" width="13.140625" customWidth="1"/>
    <col min="1543" max="1543" width="21.5703125" customWidth="1"/>
    <col min="1544" max="1544" width="15.140625" customWidth="1"/>
    <col min="1545" max="1545" width="11.5703125" bestFit="1" customWidth="1"/>
    <col min="1546" max="1546" width="13.140625" customWidth="1"/>
    <col min="1547" max="1547" width="12.85546875" bestFit="1" customWidth="1"/>
    <col min="1548" max="1548" width="18.28515625" customWidth="1"/>
    <col min="1549" max="1549" width="13.85546875" customWidth="1"/>
    <col min="1550" max="1550" width="19.42578125" customWidth="1"/>
    <col min="1551" max="1551" width="15.5703125" customWidth="1"/>
    <col min="1796" max="1796" width="9.7109375" bestFit="1" customWidth="1"/>
    <col min="1797" max="1797" width="17.140625" bestFit="1" customWidth="1"/>
    <col min="1798" max="1798" width="13.140625" customWidth="1"/>
    <col min="1799" max="1799" width="21.5703125" customWidth="1"/>
    <col min="1800" max="1800" width="15.140625" customWidth="1"/>
    <col min="1801" max="1801" width="11.5703125" bestFit="1" customWidth="1"/>
    <col min="1802" max="1802" width="13.140625" customWidth="1"/>
    <col min="1803" max="1803" width="12.85546875" bestFit="1" customWidth="1"/>
    <col min="1804" max="1804" width="18.28515625" customWidth="1"/>
    <col min="1805" max="1805" width="13.85546875" customWidth="1"/>
    <col min="1806" max="1806" width="19.42578125" customWidth="1"/>
    <col min="1807" max="1807" width="15.5703125" customWidth="1"/>
    <col min="2052" max="2052" width="9.7109375" bestFit="1" customWidth="1"/>
    <col min="2053" max="2053" width="17.140625" bestFit="1" customWidth="1"/>
    <col min="2054" max="2054" width="13.140625" customWidth="1"/>
    <col min="2055" max="2055" width="21.5703125" customWidth="1"/>
    <col min="2056" max="2056" width="15.140625" customWidth="1"/>
    <col min="2057" max="2057" width="11.5703125" bestFit="1" customWidth="1"/>
    <col min="2058" max="2058" width="13.140625" customWidth="1"/>
    <col min="2059" max="2059" width="12.85546875" bestFit="1" customWidth="1"/>
    <col min="2060" max="2060" width="18.28515625" customWidth="1"/>
    <col min="2061" max="2061" width="13.85546875" customWidth="1"/>
    <col min="2062" max="2062" width="19.42578125" customWidth="1"/>
    <col min="2063" max="2063" width="15.5703125" customWidth="1"/>
    <col min="2308" max="2308" width="9.7109375" bestFit="1" customWidth="1"/>
    <col min="2309" max="2309" width="17.140625" bestFit="1" customWidth="1"/>
    <col min="2310" max="2310" width="13.140625" customWidth="1"/>
    <col min="2311" max="2311" width="21.5703125" customWidth="1"/>
    <col min="2312" max="2312" width="15.140625" customWidth="1"/>
    <col min="2313" max="2313" width="11.5703125" bestFit="1" customWidth="1"/>
    <col min="2314" max="2314" width="13.140625" customWidth="1"/>
    <col min="2315" max="2315" width="12.85546875" bestFit="1" customWidth="1"/>
    <col min="2316" max="2316" width="18.28515625" customWidth="1"/>
    <col min="2317" max="2317" width="13.85546875" customWidth="1"/>
    <col min="2318" max="2318" width="19.42578125" customWidth="1"/>
    <col min="2319" max="2319" width="15.5703125" customWidth="1"/>
    <col min="2564" max="2564" width="9.7109375" bestFit="1" customWidth="1"/>
    <col min="2565" max="2565" width="17.140625" bestFit="1" customWidth="1"/>
    <col min="2566" max="2566" width="13.140625" customWidth="1"/>
    <col min="2567" max="2567" width="21.5703125" customWidth="1"/>
    <col min="2568" max="2568" width="15.140625" customWidth="1"/>
    <col min="2569" max="2569" width="11.5703125" bestFit="1" customWidth="1"/>
    <col min="2570" max="2570" width="13.140625" customWidth="1"/>
    <col min="2571" max="2571" width="12.85546875" bestFit="1" customWidth="1"/>
    <col min="2572" max="2572" width="18.28515625" customWidth="1"/>
    <col min="2573" max="2573" width="13.85546875" customWidth="1"/>
    <col min="2574" max="2574" width="19.42578125" customWidth="1"/>
    <col min="2575" max="2575" width="15.5703125" customWidth="1"/>
    <col min="2820" max="2820" width="9.7109375" bestFit="1" customWidth="1"/>
    <col min="2821" max="2821" width="17.140625" bestFit="1" customWidth="1"/>
    <col min="2822" max="2822" width="13.140625" customWidth="1"/>
    <col min="2823" max="2823" width="21.5703125" customWidth="1"/>
    <col min="2824" max="2824" width="15.140625" customWidth="1"/>
    <col min="2825" max="2825" width="11.5703125" bestFit="1" customWidth="1"/>
    <col min="2826" max="2826" width="13.140625" customWidth="1"/>
    <col min="2827" max="2827" width="12.85546875" bestFit="1" customWidth="1"/>
    <col min="2828" max="2828" width="18.28515625" customWidth="1"/>
    <col min="2829" max="2829" width="13.85546875" customWidth="1"/>
    <col min="2830" max="2830" width="19.42578125" customWidth="1"/>
    <col min="2831" max="2831" width="15.5703125" customWidth="1"/>
    <col min="3076" max="3076" width="9.7109375" bestFit="1" customWidth="1"/>
    <col min="3077" max="3077" width="17.140625" bestFit="1" customWidth="1"/>
    <col min="3078" max="3078" width="13.140625" customWidth="1"/>
    <col min="3079" max="3079" width="21.5703125" customWidth="1"/>
    <col min="3080" max="3080" width="15.140625" customWidth="1"/>
    <col min="3081" max="3081" width="11.5703125" bestFit="1" customWidth="1"/>
    <col min="3082" max="3082" width="13.140625" customWidth="1"/>
    <col min="3083" max="3083" width="12.85546875" bestFit="1" customWidth="1"/>
    <col min="3084" max="3084" width="18.28515625" customWidth="1"/>
    <col min="3085" max="3085" width="13.85546875" customWidth="1"/>
    <col min="3086" max="3086" width="19.42578125" customWidth="1"/>
    <col min="3087" max="3087" width="15.5703125" customWidth="1"/>
    <col min="3332" max="3332" width="9.7109375" bestFit="1" customWidth="1"/>
    <col min="3333" max="3333" width="17.140625" bestFit="1" customWidth="1"/>
    <col min="3334" max="3334" width="13.140625" customWidth="1"/>
    <col min="3335" max="3335" width="21.5703125" customWidth="1"/>
    <col min="3336" max="3336" width="15.140625" customWidth="1"/>
    <col min="3337" max="3337" width="11.5703125" bestFit="1" customWidth="1"/>
    <col min="3338" max="3338" width="13.140625" customWidth="1"/>
    <col min="3339" max="3339" width="12.85546875" bestFit="1" customWidth="1"/>
    <col min="3340" max="3340" width="18.28515625" customWidth="1"/>
    <col min="3341" max="3341" width="13.85546875" customWidth="1"/>
    <col min="3342" max="3342" width="19.42578125" customWidth="1"/>
    <col min="3343" max="3343" width="15.5703125" customWidth="1"/>
    <col min="3588" max="3588" width="9.7109375" bestFit="1" customWidth="1"/>
    <col min="3589" max="3589" width="17.140625" bestFit="1" customWidth="1"/>
    <col min="3590" max="3590" width="13.140625" customWidth="1"/>
    <col min="3591" max="3591" width="21.5703125" customWidth="1"/>
    <col min="3592" max="3592" width="15.140625" customWidth="1"/>
    <col min="3593" max="3593" width="11.5703125" bestFit="1" customWidth="1"/>
    <col min="3594" max="3594" width="13.140625" customWidth="1"/>
    <col min="3595" max="3595" width="12.85546875" bestFit="1" customWidth="1"/>
    <col min="3596" max="3596" width="18.28515625" customWidth="1"/>
    <col min="3597" max="3597" width="13.85546875" customWidth="1"/>
    <col min="3598" max="3598" width="19.42578125" customWidth="1"/>
    <col min="3599" max="3599" width="15.5703125" customWidth="1"/>
    <col min="3844" max="3844" width="9.7109375" bestFit="1" customWidth="1"/>
    <col min="3845" max="3845" width="17.140625" bestFit="1" customWidth="1"/>
    <col min="3846" max="3846" width="13.140625" customWidth="1"/>
    <col min="3847" max="3847" width="21.5703125" customWidth="1"/>
    <col min="3848" max="3848" width="15.140625" customWidth="1"/>
    <col min="3849" max="3849" width="11.5703125" bestFit="1" customWidth="1"/>
    <col min="3850" max="3850" width="13.140625" customWidth="1"/>
    <col min="3851" max="3851" width="12.85546875" bestFit="1" customWidth="1"/>
    <col min="3852" max="3852" width="18.28515625" customWidth="1"/>
    <col min="3853" max="3853" width="13.85546875" customWidth="1"/>
    <col min="3854" max="3854" width="19.42578125" customWidth="1"/>
    <col min="3855" max="3855" width="15.5703125" customWidth="1"/>
    <col min="4100" max="4100" width="9.7109375" bestFit="1" customWidth="1"/>
    <col min="4101" max="4101" width="17.140625" bestFit="1" customWidth="1"/>
    <col min="4102" max="4102" width="13.140625" customWidth="1"/>
    <col min="4103" max="4103" width="21.5703125" customWidth="1"/>
    <col min="4104" max="4104" width="15.140625" customWidth="1"/>
    <col min="4105" max="4105" width="11.5703125" bestFit="1" customWidth="1"/>
    <col min="4106" max="4106" width="13.140625" customWidth="1"/>
    <col min="4107" max="4107" width="12.85546875" bestFit="1" customWidth="1"/>
    <col min="4108" max="4108" width="18.28515625" customWidth="1"/>
    <col min="4109" max="4109" width="13.85546875" customWidth="1"/>
    <col min="4110" max="4110" width="19.42578125" customWidth="1"/>
    <col min="4111" max="4111" width="15.5703125" customWidth="1"/>
    <col min="4356" max="4356" width="9.7109375" bestFit="1" customWidth="1"/>
    <col min="4357" max="4357" width="17.140625" bestFit="1" customWidth="1"/>
    <col min="4358" max="4358" width="13.140625" customWidth="1"/>
    <col min="4359" max="4359" width="21.5703125" customWidth="1"/>
    <col min="4360" max="4360" width="15.140625" customWidth="1"/>
    <col min="4361" max="4361" width="11.5703125" bestFit="1" customWidth="1"/>
    <col min="4362" max="4362" width="13.140625" customWidth="1"/>
    <col min="4363" max="4363" width="12.85546875" bestFit="1" customWidth="1"/>
    <col min="4364" max="4364" width="18.28515625" customWidth="1"/>
    <col min="4365" max="4365" width="13.85546875" customWidth="1"/>
    <col min="4366" max="4366" width="19.42578125" customWidth="1"/>
    <col min="4367" max="4367" width="15.5703125" customWidth="1"/>
    <col min="4612" max="4612" width="9.7109375" bestFit="1" customWidth="1"/>
    <col min="4613" max="4613" width="17.140625" bestFit="1" customWidth="1"/>
    <col min="4614" max="4614" width="13.140625" customWidth="1"/>
    <col min="4615" max="4615" width="21.5703125" customWidth="1"/>
    <col min="4616" max="4616" width="15.140625" customWidth="1"/>
    <col min="4617" max="4617" width="11.5703125" bestFit="1" customWidth="1"/>
    <col min="4618" max="4618" width="13.140625" customWidth="1"/>
    <col min="4619" max="4619" width="12.85546875" bestFit="1" customWidth="1"/>
    <col min="4620" max="4620" width="18.28515625" customWidth="1"/>
    <col min="4621" max="4621" width="13.85546875" customWidth="1"/>
    <col min="4622" max="4622" width="19.42578125" customWidth="1"/>
    <col min="4623" max="4623" width="15.5703125" customWidth="1"/>
    <col min="4868" max="4868" width="9.7109375" bestFit="1" customWidth="1"/>
    <col min="4869" max="4869" width="17.140625" bestFit="1" customWidth="1"/>
    <col min="4870" max="4870" width="13.140625" customWidth="1"/>
    <col min="4871" max="4871" width="21.5703125" customWidth="1"/>
    <col min="4872" max="4872" width="15.140625" customWidth="1"/>
    <col min="4873" max="4873" width="11.5703125" bestFit="1" customWidth="1"/>
    <col min="4874" max="4874" width="13.140625" customWidth="1"/>
    <col min="4875" max="4875" width="12.85546875" bestFit="1" customWidth="1"/>
    <col min="4876" max="4876" width="18.28515625" customWidth="1"/>
    <col min="4877" max="4877" width="13.85546875" customWidth="1"/>
    <col min="4878" max="4878" width="19.42578125" customWidth="1"/>
    <col min="4879" max="4879" width="15.5703125" customWidth="1"/>
    <col min="5124" max="5124" width="9.7109375" bestFit="1" customWidth="1"/>
    <col min="5125" max="5125" width="17.140625" bestFit="1" customWidth="1"/>
    <col min="5126" max="5126" width="13.140625" customWidth="1"/>
    <col min="5127" max="5127" width="21.5703125" customWidth="1"/>
    <col min="5128" max="5128" width="15.140625" customWidth="1"/>
    <col min="5129" max="5129" width="11.5703125" bestFit="1" customWidth="1"/>
    <col min="5130" max="5130" width="13.140625" customWidth="1"/>
    <col min="5131" max="5131" width="12.85546875" bestFit="1" customWidth="1"/>
    <col min="5132" max="5132" width="18.28515625" customWidth="1"/>
    <col min="5133" max="5133" width="13.85546875" customWidth="1"/>
    <col min="5134" max="5134" width="19.42578125" customWidth="1"/>
    <col min="5135" max="5135" width="15.5703125" customWidth="1"/>
    <col min="5380" max="5380" width="9.7109375" bestFit="1" customWidth="1"/>
    <col min="5381" max="5381" width="17.140625" bestFit="1" customWidth="1"/>
    <col min="5382" max="5382" width="13.140625" customWidth="1"/>
    <col min="5383" max="5383" width="21.5703125" customWidth="1"/>
    <col min="5384" max="5384" width="15.140625" customWidth="1"/>
    <col min="5385" max="5385" width="11.5703125" bestFit="1" customWidth="1"/>
    <col min="5386" max="5386" width="13.140625" customWidth="1"/>
    <col min="5387" max="5387" width="12.85546875" bestFit="1" customWidth="1"/>
    <col min="5388" max="5388" width="18.28515625" customWidth="1"/>
    <col min="5389" max="5389" width="13.85546875" customWidth="1"/>
    <col min="5390" max="5390" width="19.42578125" customWidth="1"/>
    <col min="5391" max="5391" width="15.5703125" customWidth="1"/>
    <col min="5636" max="5636" width="9.7109375" bestFit="1" customWidth="1"/>
    <col min="5637" max="5637" width="17.140625" bestFit="1" customWidth="1"/>
    <col min="5638" max="5638" width="13.140625" customWidth="1"/>
    <col min="5639" max="5639" width="21.5703125" customWidth="1"/>
    <col min="5640" max="5640" width="15.140625" customWidth="1"/>
    <col min="5641" max="5641" width="11.5703125" bestFit="1" customWidth="1"/>
    <col min="5642" max="5642" width="13.140625" customWidth="1"/>
    <col min="5643" max="5643" width="12.85546875" bestFit="1" customWidth="1"/>
    <col min="5644" max="5644" width="18.28515625" customWidth="1"/>
    <col min="5645" max="5645" width="13.85546875" customWidth="1"/>
    <col min="5646" max="5646" width="19.42578125" customWidth="1"/>
    <col min="5647" max="5647" width="15.5703125" customWidth="1"/>
    <col min="5892" max="5892" width="9.7109375" bestFit="1" customWidth="1"/>
    <col min="5893" max="5893" width="17.140625" bestFit="1" customWidth="1"/>
    <col min="5894" max="5894" width="13.140625" customWidth="1"/>
    <col min="5895" max="5895" width="21.5703125" customWidth="1"/>
    <col min="5896" max="5896" width="15.140625" customWidth="1"/>
    <col min="5897" max="5897" width="11.5703125" bestFit="1" customWidth="1"/>
    <col min="5898" max="5898" width="13.140625" customWidth="1"/>
    <col min="5899" max="5899" width="12.85546875" bestFit="1" customWidth="1"/>
    <col min="5900" max="5900" width="18.28515625" customWidth="1"/>
    <col min="5901" max="5901" width="13.85546875" customWidth="1"/>
    <col min="5902" max="5902" width="19.42578125" customWidth="1"/>
    <col min="5903" max="5903" width="15.5703125" customWidth="1"/>
    <col min="6148" max="6148" width="9.7109375" bestFit="1" customWidth="1"/>
    <col min="6149" max="6149" width="17.140625" bestFit="1" customWidth="1"/>
    <col min="6150" max="6150" width="13.140625" customWidth="1"/>
    <col min="6151" max="6151" width="21.5703125" customWidth="1"/>
    <col min="6152" max="6152" width="15.140625" customWidth="1"/>
    <col min="6153" max="6153" width="11.5703125" bestFit="1" customWidth="1"/>
    <col min="6154" max="6154" width="13.140625" customWidth="1"/>
    <col min="6155" max="6155" width="12.85546875" bestFit="1" customWidth="1"/>
    <col min="6156" max="6156" width="18.28515625" customWidth="1"/>
    <col min="6157" max="6157" width="13.85546875" customWidth="1"/>
    <col min="6158" max="6158" width="19.42578125" customWidth="1"/>
    <col min="6159" max="6159" width="15.5703125" customWidth="1"/>
    <col min="6404" max="6404" width="9.7109375" bestFit="1" customWidth="1"/>
    <col min="6405" max="6405" width="17.140625" bestFit="1" customWidth="1"/>
    <col min="6406" max="6406" width="13.140625" customWidth="1"/>
    <col min="6407" max="6407" width="21.5703125" customWidth="1"/>
    <col min="6408" max="6408" width="15.140625" customWidth="1"/>
    <col min="6409" max="6409" width="11.5703125" bestFit="1" customWidth="1"/>
    <col min="6410" max="6410" width="13.140625" customWidth="1"/>
    <col min="6411" max="6411" width="12.85546875" bestFit="1" customWidth="1"/>
    <col min="6412" max="6412" width="18.28515625" customWidth="1"/>
    <col min="6413" max="6413" width="13.85546875" customWidth="1"/>
    <col min="6414" max="6414" width="19.42578125" customWidth="1"/>
    <col min="6415" max="6415" width="15.5703125" customWidth="1"/>
    <col min="6660" max="6660" width="9.7109375" bestFit="1" customWidth="1"/>
    <col min="6661" max="6661" width="17.140625" bestFit="1" customWidth="1"/>
    <col min="6662" max="6662" width="13.140625" customWidth="1"/>
    <col min="6663" max="6663" width="21.5703125" customWidth="1"/>
    <col min="6664" max="6664" width="15.140625" customWidth="1"/>
    <col min="6665" max="6665" width="11.5703125" bestFit="1" customWidth="1"/>
    <col min="6666" max="6666" width="13.140625" customWidth="1"/>
    <col min="6667" max="6667" width="12.85546875" bestFit="1" customWidth="1"/>
    <col min="6668" max="6668" width="18.28515625" customWidth="1"/>
    <col min="6669" max="6669" width="13.85546875" customWidth="1"/>
    <col min="6670" max="6670" width="19.42578125" customWidth="1"/>
    <col min="6671" max="6671" width="15.5703125" customWidth="1"/>
    <col min="6916" max="6916" width="9.7109375" bestFit="1" customWidth="1"/>
    <col min="6917" max="6917" width="17.140625" bestFit="1" customWidth="1"/>
    <col min="6918" max="6918" width="13.140625" customWidth="1"/>
    <col min="6919" max="6919" width="21.5703125" customWidth="1"/>
    <col min="6920" max="6920" width="15.140625" customWidth="1"/>
    <col min="6921" max="6921" width="11.5703125" bestFit="1" customWidth="1"/>
    <col min="6922" max="6922" width="13.140625" customWidth="1"/>
    <col min="6923" max="6923" width="12.85546875" bestFit="1" customWidth="1"/>
    <col min="6924" max="6924" width="18.28515625" customWidth="1"/>
    <col min="6925" max="6925" width="13.85546875" customWidth="1"/>
    <col min="6926" max="6926" width="19.42578125" customWidth="1"/>
    <col min="6927" max="6927" width="15.5703125" customWidth="1"/>
    <col min="7172" max="7172" width="9.7109375" bestFit="1" customWidth="1"/>
    <col min="7173" max="7173" width="17.140625" bestFit="1" customWidth="1"/>
    <col min="7174" max="7174" width="13.140625" customWidth="1"/>
    <col min="7175" max="7175" width="21.5703125" customWidth="1"/>
    <col min="7176" max="7176" width="15.140625" customWidth="1"/>
    <col min="7177" max="7177" width="11.5703125" bestFit="1" customWidth="1"/>
    <col min="7178" max="7178" width="13.140625" customWidth="1"/>
    <col min="7179" max="7179" width="12.85546875" bestFit="1" customWidth="1"/>
    <col min="7180" max="7180" width="18.28515625" customWidth="1"/>
    <col min="7181" max="7181" width="13.85546875" customWidth="1"/>
    <col min="7182" max="7182" width="19.42578125" customWidth="1"/>
    <col min="7183" max="7183" width="15.5703125" customWidth="1"/>
    <col min="7428" max="7428" width="9.7109375" bestFit="1" customWidth="1"/>
    <col min="7429" max="7429" width="17.140625" bestFit="1" customWidth="1"/>
    <col min="7430" max="7430" width="13.140625" customWidth="1"/>
    <col min="7431" max="7431" width="21.5703125" customWidth="1"/>
    <col min="7432" max="7432" width="15.140625" customWidth="1"/>
    <col min="7433" max="7433" width="11.5703125" bestFit="1" customWidth="1"/>
    <col min="7434" max="7434" width="13.140625" customWidth="1"/>
    <col min="7435" max="7435" width="12.85546875" bestFit="1" customWidth="1"/>
    <col min="7436" max="7436" width="18.28515625" customWidth="1"/>
    <col min="7437" max="7437" width="13.85546875" customWidth="1"/>
    <col min="7438" max="7438" width="19.42578125" customWidth="1"/>
    <col min="7439" max="7439" width="15.5703125" customWidth="1"/>
    <col min="7684" max="7684" width="9.7109375" bestFit="1" customWidth="1"/>
    <col min="7685" max="7685" width="17.140625" bestFit="1" customWidth="1"/>
    <col min="7686" max="7686" width="13.140625" customWidth="1"/>
    <col min="7687" max="7687" width="21.5703125" customWidth="1"/>
    <col min="7688" max="7688" width="15.140625" customWidth="1"/>
    <col min="7689" max="7689" width="11.5703125" bestFit="1" customWidth="1"/>
    <col min="7690" max="7690" width="13.140625" customWidth="1"/>
    <col min="7691" max="7691" width="12.85546875" bestFit="1" customWidth="1"/>
    <col min="7692" max="7692" width="18.28515625" customWidth="1"/>
    <col min="7693" max="7693" width="13.85546875" customWidth="1"/>
    <col min="7694" max="7694" width="19.42578125" customWidth="1"/>
    <col min="7695" max="7695" width="15.5703125" customWidth="1"/>
    <col min="7940" max="7940" width="9.7109375" bestFit="1" customWidth="1"/>
    <col min="7941" max="7941" width="17.140625" bestFit="1" customWidth="1"/>
    <col min="7942" max="7942" width="13.140625" customWidth="1"/>
    <col min="7943" max="7943" width="21.5703125" customWidth="1"/>
    <col min="7944" max="7944" width="15.140625" customWidth="1"/>
    <col min="7945" max="7945" width="11.5703125" bestFit="1" customWidth="1"/>
    <col min="7946" max="7946" width="13.140625" customWidth="1"/>
    <col min="7947" max="7947" width="12.85546875" bestFit="1" customWidth="1"/>
    <col min="7948" max="7948" width="18.28515625" customWidth="1"/>
    <col min="7949" max="7949" width="13.85546875" customWidth="1"/>
    <col min="7950" max="7950" width="19.42578125" customWidth="1"/>
    <col min="7951" max="7951" width="15.5703125" customWidth="1"/>
    <col min="8196" max="8196" width="9.7109375" bestFit="1" customWidth="1"/>
    <col min="8197" max="8197" width="17.140625" bestFit="1" customWidth="1"/>
    <col min="8198" max="8198" width="13.140625" customWidth="1"/>
    <col min="8199" max="8199" width="21.5703125" customWidth="1"/>
    <col min="8200" max="8200" width="15.140625" customWidth="1"/>
    <col min="8201" max="8201" width="11.5703125" bestFit="1" customWidth="1"/>
    <col min="8202" max="8202" width="13.140625" customWidth="1"/>
    <col min="8203" max="8203" width="12.85546875" bestFit="1" customWidth="1"/>
    <col min="8204" max="8204" width="18.28515625" customWidth="1"/>
    <col min="8205" max="8205" width="13.85546875" customWidth="1"/>
    <col min="8206" max="8206" width="19.42578125" customWidth="1"/>
    <col min="8207" max="8207" width="15.5703125" customWidth="1"/>
    <col min="8452" max="8452" width="9.7109375" bestFit="1" customWidth="1"/>
    <col min="8453" max="8453" width="17.140625" bestFit="1" customWidth="1"/>
    <col min="8454" max="8454" width="13.140625" customWidth="1"/>
    <col min="8455" max="8455" width="21.5703125" customWidth="1"/>
    <col min="8456" max="8456" width="15.140625" customWidth="1"/>
    <col min="8457" max="8457" width="11.5703125" bestFit="1" customWidth="1"/>
    <col min="8458" max="8458" width="13.140625" customWidth="1"/>
    <col min="8459" max="8459" width="12.85546875" bestFit="1" customWidth="1"/>
    <col min="8460" max="8460" width="18.28515625" customWidth="1"/>
    <col min="8461" max="8461" width="13.85546875" customWidth="1"/>
    <col min="8462" max="8462" width="19.42578125" customWidth="1"/>
    <col min="8463" max="8463" width="15.5703125" customWidth="1"/>
    <col min="8708" max="8708" width="9.7109375" bestFit="1" customWidth="1"/>
    <col min="8709" max="8709" width="17.140625" bestFit="1" customWidth="1"/>
    <col min="8710" max="8710" width="13.140625" customWidth="1"/>
    <col min="8711" max="8711" width="21.5703125" customWidth="1"/>
    <col min="8712" max="8712" width="15.140625" customWidth="1"/>
    <col min="8713" max="8713" width="11.5703125" bestFit="1" customWidth="1"/>
    <col min="8714" max="8714" width="13.140625" customWidth="1"/>
    <col min="8715" max="8715" width="12.85546875" bestFit="1" customWidth="1"/>
    <col min="8716" max="8716" width="18.28515625" customWidth="1"/>
    <col min="8717" max="8717" width="13.85546875" customWidth="1"/>
    <col min="8718" max="8718" width="19.42578125" customWidth="1"/>
    <col min="8719" max="8719" width="15.5703125" customWidth="1"/>
    <col min="8964" max="8964" width="9.7109375" bestFit="1" customWidth="1"/>
    <col min="8965" max="8965" width="17.140625" bestFit="1" customWidth="1"/>
    <col min="8966" max="8966" width="13.140625" customWidth="1"/>
    <col min="8967" max="8967" width="21.5703125" customWidth="1"/>
    <col min="8968" max="8968" width="15.140625" customWidth="1"/>
    <col min="8969" max="8969" width="11.5703125" bestFit="1" customWidth="1"/>
    <col min="8970" max="8970" width="13.140625" customWidth="1"/>
    <col min="8971" max="8971" width="12.85546875" bestFit="1" customWidth="1"/>
    <col min="8972" max="8972" width="18.28515625" customWidth="1"/>
    <col min="8973" max="8973" width="13.85546875" customWidth="1"/>
    <col min="8974" max="8974" width="19.42578125" customWidth="1"/>
    <col min="8975" max="8975" width="15.5703125" customWidth="1"/>
    <col min="9220" max="9220" width="9.7109375" bestFit="1" customWidth="1"/>
    <col min="9221" max="9221" width="17.140625" bestFit="1" customWidth="1"/>
    <col min="9222" max="9222" width="13.140625" customWidth="1"/>
    <col min="9223" max="9223" width="21.5703125" customWidth="1"/>
    <col min="9224" max="9224" width="15.140625" customWidth="1"/>
    <col min="9225" max="9225" width="11.5703125" bestFit="1" customWidth="1"/>
    <col min="9226" max="9226" width="13.140625" customWidth="1"/>
    <col min="9227" max="9227" width="12.85546875" bestFit="1" customWidth="1"/>
    <col min="9228" max="9228" width="18.28515625" customWidth="1"/>
    <col min="9229" max="9229" width="13.85546875" customWidth="1"/>
    <col min="9230" max="9230" width="19.42578125" customWidth="1"/>
    <col min="9231" max="9231" width="15.5703125" customWidth="1"/>
    <col min="9476" max="9476" width="9.7109375" bestFit="1" customWidth="1"/>
    <col min="9477" max="9477" width="17.140625" bestFit="1" customWidth="1"/>
    <col min="9478" max="9478" width="13.140625" customWidth="1"/>
    <col min="9479" max="9479" width="21.5703125" customWidth="1"/>
    <col min="9480" max="9480" width="15.140625" customWidth="1"/>
    <col min="9481" max="9481" width="11.5703125" bestFit="1" customWidth="1"/>
    <col min="9482" max="9482" width="13.140625" customWidth="1"/>
    <col min="9483" max="9483" width="12.85546875" bestFit="1" customWidth="1"/>
    <col min="9484" max="9484" width="18.28515625" customWidth="1"/>
    <col min="9485" max="9485" width="13.85546875" customWidth="1"/>
    <col min="9486" max="9486" width="19.42578125" customWidth="1"/>
    <col min="9487" max="9487" width="15.5703125" customWidth="1"/>
    <col min="9732" max="9732" width="9.7109375" bestFit="1" customWidth="1"/>
    <col min="9733" max="9733" width="17.140625" bestFit="1" customWidth="1"/>
    <col min="9734" max="9734" width="13.140625" customWidth="1"/>
    <col min="9735" max="9735" width="21.5703125" customWidth="1"/>
    <col min="9736" max="9736" width="15.140625" customWidth="1"/>
    <col min="9737" max="9737" width="11.5703125" bestFit="1" customWidth="1"/>
    <col min="9738" max="9738" width="13.140625" customWidth="1"/>
    <col min="9739" max="9739" width="12.85546875" bestFit="1" customWidth="1"/>
    <col min="9740" max="9740" width="18.28515625" customWidth="1"/>
    <col min="9741" max="9741" width="13.85546875" customWidth="1"/>
    <col min="9742" max="9742" width="19.42578125" customWidth="1"/>
    <col min="9743" max="9743" width="15.5703125" customWidth="1"/>
    <col min="9988" max="9988" width="9.7109375" bestFit="1" customWidth="1"/>
    <col min="9989" max="9989" width="17.140625" bestFit="1" customWidth="1"/>
    <col min="9990" max="9990" width="13.140625" customWidth="1"/>
    <col min="9991" max="9991" width="21.5703125" customWidth="1"/>
    <col min="9992" max="9992" width="15.140625" customWidth="1"/>
    <col min="9993" max="9993" width="11.5703125" bestFit="1" customWidth="1"/>
    <col min="9994" max="9994" width="13.140625" customWidth="1"/>
    <col min="9995" max="9995" width="12.85546875" bestFit="1" customWidth="1"/>
    <col min="9996" max="9996" width="18.28515625" customWidth="1"/>
    <col min="9997" max="9997" width="13.85546875" customWidth="1"/>
    <col min="9998" max="9998" width="19.42578125" customWidth="1"/>
    <col min="9999" max="9999" width="15.5703125" customWidth="1"/>
    <col min="10244" max="10244" width="9.7109375" bestFit="1" customWidth="1"/>
    <col min="10245" max="10245" width="17.140625" bestFit="1" customWidth="1"/>
    <col min="10246" max="10246" width="13.140625" customWidth="1"/>
    <col min="10247" max="10247" width="21.5703125" customWidth="1"/>
    <col min="10248" max="10248" width="15.140625" customWidth="1"/>
    <col min="10249" max="10249" width="11.5703125" bestFit="1" customWidth="1"/>
    <col min="10250" max="10250" width="13.140625" customWidth="1"/>
    <col min="10251" max="10251" width="12.85546875" bestFit="1" customWidth="1"/>
    <col min="10252" max="10252" width="18.28515625" customWidth="1"/>
    <col min="10253" max="10253" width="13.85546875" customWidth="1"/>
    <col min="10254" max="10254" width="19.42578125" customWidth="1"/>
    <col min="10255" max="10255" width="15.5703125" customWidth="1"/>
    <col min="10500" max="10500" width="9.7109375" bestFit="1" customWidth="1"/>
    <col min="10501" max="10501" width="17.140625" bestFit="1" customWidth="1"/>
    <col min="10502" max="10502" width="13.140625" customWidth="1"/>
    <col min="10503" max="10503" width="21.5703125" customWidth="1"/>
    <col min="10504" max="10504" width="15.140625" customWidth="1"/>
    <col min="10505" max="10505" width="11.5703125" bestFit="1" customWidth="1"/>
    <col min="10506" max="10506" width="13.140625" customWidth="1"/>
    <col min="10507" max="10507" width="12.85546875" bestFit="1" customWidth="1"/>
    <col min="10508" max="10508" width="18.28515625" customWidth="1"/>
    <col min="10509" max="10509" width="13.85546875" customWidth="1"/>
    <col min="10510" max="10510" width="19.42578125" customWidth="1"/>
    <col min="10511" max="10511" width="15.5703125" customWidth="1"/>
    <col min="10756" max="10756" width="9.7109375" bestFit="1" customWidth="1"/>
    <col min="10757" max="10757" width="17.140625" bestFit="1" customWidth="1"/>
    <col min="10758" max="10758" width="13.140625" customWidth="1"/>
    <col min="10759" max="10759" width="21.5703125" customWidth="1"/>
    <col min="10760" max="10760" width="15.140625" customWidth="1"/>
    <col min="10761" max="10761" width="11.5703125" bestFit="1" customWidth="1"/>
    <col min="10762" max="10762" width="13.140625" customWidth="1"/>
    <col min="10763" max="10763" width="12.85546875" bestFit="1" customWidth="1"/>
    <col min="10764" max="10764" width="18.28515625" customWidth="1"/>
    <col min="10765" max="10765" width="13.85546875" customWidth="1"/>
    <col min="10766" max="10766" width="19.42578125" customWidth="1"/>
    <col min="10767" max="10767" width="15.5703125" customWidth="1"/>
    <col min="11012" max="11012" width="9.7109375" bestFit="1" customWidth="1"/>
    <col min="11013" max="11013" width="17.140625" bestFit="1" customWidth="1"/>
    <col min="11014" max="11014" width="13.140625" customWidth="1"/>
    <col min="11015" max="11015" width="21.5703125" customWidth="1"/>
    <col min="11016" max="11016" width="15.140625" customWidth="1"/>
    <col min="11017" max="11017" width="11.5703125" bestFit="1" customWidth="1"/>
    <col min="11018" max="11018" width="13.140625" customWidth="1"/>
    <col min="11019" max="11019" width="12.85546875" bestFit="1" customWidth="1"/>
    <col min="11020" max="11020" width="18.28515625" customWidth="1"/>
    <col min="11021" max="11021" width="13.85546875" customWidth="1"/>
    <col min="11022" max="11022" width="19.42578125" customWidth="1"/>
    <col min="11023" max="11023" width="15.5703125" customWidth="1"/>
    <col min="11268" max="11268" width="9.7109375" bestFit="1" customWidth="1"/>
    <col min="11269" max="11269" width="17.140625" bestFit="1" customWidth="1"/>
    <col min="11270" max="11270" width="13.140625" customWidth="1"/>
    <col min="11271" max="11271" width="21.5703125" customWidth="1"/>
    <col min="11272" max="11272" width="15.140625" customWidth="1"/>
    <col min="11273" max="11273" width="11.5703125" bestFit="1" customWidth="1"/>
    <col min="11274" max="11274" width="13.140625" customWidth="1"/>
    <col min="11275" max="11275" width="12.85546875" bestFit="1" customWidth="1"/>
    <col min="11276" max="11276" width="18.28515625" customWidth="1"/>
    <col min="11277" max="11277" width="13.85546875" customWidth="1"/>
    <col min="11278" max="11278" width="19.42578125" customWidth="1"/>
    <col min="11279" max="11279" width="15.5703125" customWidth="1"/>
    <col min="11524" max="11524" width="9.7109375" bestFit="1" customWidth="1"/>
    <col min="11525" max="11525" width="17.140625" bestFit="1" customWidth="1"/>
    <col min="11526" max="11526" width="13.140625" customWidth="1"/>
    <col min="11527" max="11527" width="21.5703125" customWidth="1"/>
    <col min="11528" max="11528" width="15.140625" customWidth="1"/>
    <col min="11529" max="11529" width="11.5703125" bestFit="1" customWidth="1"/>
    <col min="11530" max="11530" width="13.140625" customWidth="1"/>
    <col min="11531" max="11531" width="12.85546875" bestFit="1" customWidth="1"/>
    <col min="11532" max="11532" width="18.28515625" customWidth="1"/>
    <col min="11533" max="11533" width="13.85546875" customWidth="1"/>
    <col min="11534" max="11534" width="19.42578125" customWidth="1"/>
    <col min="11535" max="11535" width="15.5703125" customWidth="1"/>
    <col min="11780" max="11780" width="9.7109375" bestFit="1" customWidth="1"/>
    <col min="11781" max="11781" width="17.140625" bestFit="1" customWidth="1"/>
    <col min="11782" max="11782" width="13.140625" customWidth="1"/>
    <col min="11783" max="11783" width="21.5703125" customWidth="1"/>
    <col min="11784" max="11784" width="15.140625" customWidth="1"/>
    <col min="11785" max="11785" width="11.5703125" bestFit="1" customWidth="1"/>
    <col min="11786" max="11786" width="13.140625" customWidth="1"/>
    <col min="11787" max="11787" width="12.85546875" bestFit="1" customWidth="1"/>
    <col min="11788" max="11788" width="18.28515625" customWidth="1"/>
    <col min="11789" max="11789" width="13.85546875" customWidth="1"/>
    <col min="11790" max="11790" width="19.42578125" customWidth="1"/>
    <col min="11791" max="11791" width="15.5703125" customWidth="1"/>
    <col min="12036" max="12036" width="9.7109375" bestFit="1" customWidth="1"/>
    <col min="12037" max="12037" width="17.140625" bestFit="1" customWidth="1"/>
    <col min="12038" max="12038" width="13.140625" customWidth="1"/>
    <col min="12039" max="12039" width="21.5703125" customWidth="1"/>
    <col min="12040" max="12040" width="15.140625" customWidth="1"/>
    <col min="12041" max="12041" width="11.5703125" bestFit="1" customWidth="1"/>
    <col min="12042" max="12042" width="13.140625" customWidth="1"/>
    <col min="12043" max="12043" width="12.85546875" bestFit="1" customWidth="1"/>
    <col min="12044" max="12044" width="18.28515625" customWidth="1"/>
    <col min="12045" max="12045" width="13.85546875" customWidth="1"/>
    <col min="12046" max="12046" width="19.42578125" customWidth="1"/>
    <col min="12047" max="12047" width="15.5703125" customWidth="1"/>
    <col min="12292" max="12292" width="9.7109375" bestFit="1" customWidth="1"/>
    <col min="12293" max="12293" width="17.140625" bestFit="1" customWidth="1"/>
    <col min="12294" max="12294" width="13.140625" customWidth="1"/>
    <col min="12295" max="12295" width="21.5703125" customWidth="1"/>
    <col min="12296" max="12296" width="15.140625" customWidth="1"/>
    <col min="12297" max="12297" width="11.5703125" bestFit="1" customWidth="1"/>
    <col min="12298" max="12298" width="13.140625" customWidth="1"/>
    <col min="12299" max="12299" width="12.85546875" bestFit="1" customWidth="1"/>
    <col min="12300" max="12300" width="18.28515625" customWidth="1"/>
    <col min="12301" max="12301" width="13.85546875" customWidth="1"/>
    <col min="12302" max="12302" width="19.42578125" customWidth="1"/>
    <col min="12303" max="12303" width="15.5703125" customWidth="1"/>
    <col min="12548" max="12548" width="9.7109375" bestFit="1" customWidth="1"/>
    <col min="12549" max="12549" width="17.140625" bestFit="1" customWidth="1"/>
    <col min="12550" max="12550" width="13.140625" customWidth="1"/>
    <col min="12551" max="12551" width="21.5703125" customWidth="1"/>
    <col min="12552" max="12552" width="15.140625" customWidth="1"/>
    <col min="12553" max="12553" width="11.5703125" bestFit="1" customWidth="1"/>
    <col min="12554" max="12554" width="13.140625" customWidth="1"/>
    <col min="12555" max="12555" width="12.85546875" bestFit="1" customWidth="1"/>
    <col min="12556" max="12556" width="18.28515625" customWidth="1"/>
    <col min="12557" max="12557" width="13.85546875" customWidth="1"/>
    <col min="12558" max="12558" width="19.42578125" customWidth="1"/>
    <col min="12559" max="12559" width="15.5703125" customWidth="1"/>
    <col min="12804" max="12804" width="9.7109375" bestFit="1" customWidth="1"/>
    <col min="12805" max="12805" width="17.140625" bestFit="1" customWidth="1"/>
    <col min="12806" max="12806" width="13.140625" customWidth="1"/>
    <col min="12807" max="12807" width="21.5703125" customWidth="1"/>
    <col min="12808" max="12808" width="15.140625" customWidth="1"/>
    <col min="12809" max="12809" width="11.5703125" bestFit="1" customWidth="1"/>
    <col min="12810" max="12810" width="13.140625" customWidth="1"/>
    <col min="12811" max="12811" width="12.85546875" bestFit="1" customWidth="1"/>
    <col min="12812" max="12812" width="18.28515625" customWidth="1"/>
    <col min="12813" max="12813" width="13.85546875" customWidth="1"/>
    <col min="12814" max="12814" width="19.42578125" customWidth="1"/>
    <col min="12815" max="12815" width="15.5703125" customWidth="1"/>
    <col min="13060" max="13060" width="9.7109375" bestFit="1" customWidth="1"/>
    <col min="13061" max="13061" width="17.140625" bestFit="1" customWidth="1"/>
    <col min="13062" max="13062" width="13.140625" customWidth="1"/>
    <col min="13063" max="13063" width="21.5703125" customWidth="1"/>
    <col min="13064" max="13064" width="15.140625" customWidth="1"/>
    <col min="13065" max="13065" width="11.5703125" bestFit="1" customWidth="1"/>
    <col min="13066" max="13066" width="13.140625" customWidth="1"/>
    <col min="13067" max="13067" width="12.85546875" bestFit="1" customWidth="1"/>
    <col min="13068" max="13068" width="18.28515625" customWidth="1"/>
    <col min="13069" max="13069" width="13.85546875" customWidth="1"/>
    <col min="13070" max="13070" width="19.42578125" customWidth="1"/>
    <col min="13071" max="13071" width="15.5703125" customWidth="1"/>
    <col min="13316" max="13316" width="9.7109375" bestFit="1" customWidth="1"/>
    <col min="13317" max="13317" width="17.140625" bestFit="1" customWidth="1"/>
    <col min="13318" max="13318" width="13.140625" customWidth="1"/>
    <col min="13319" max="13319" width="21.5703125" customWidth="1"/>
    <col min="13320" max="13320" width="15.140625" customWidth="1"/>
    <col min="13321" max="13321" width="11.5703125" bestFit="1" customWidth="1"/>
    <col min="13322" max="13322" width="13.140625" customWidth="1"/>
    <col min="13323" max="13323" width="12.85546875" bestFit="1" customWidth="1"/>
    <col min="13324" max="13324" width="18.28515625" customWidth="1"/>
    <col min="13325" max="13325" width="13.85546875" customWidth="1"/>
    <col min="13326" max="13326" width="19.42578125" customWidth="1"/>
    <col min="13327" max="13327" width="15.5703125" customWidth="1"/>
    <col min="13572" max="13572" width="9.7109375" bestFit="1" customWidth="1"/>
    <col min="13573" max="13573" width="17.140625" bestFit="1" customWidth="1"/>
    <col min="13574" max="13574" width="13.140625" customWidth="1"/>
    <col min="13575" max="13575" width="21.5703125" customWidth="1"/>
    <col min="13576" max="13576" width="15.140625" customWidth="1"/>
    <col min="13577" max="13577" width="11.5703125" bestFit="1" customWidth="1"/>
    <col min="13578" max="13578" width="13.140625" customWidth="1"/>
    <col min="13579" max="13579" width="12.85546875" bestFit="1" customWidth="1"/>
    <col min="13580" max="13580" width="18.28515625" customWidth="1"/>
    <col min="13581" max="13581" width="13.85546875" customWidth="1"/>
    <col min="13582" max="13582" width="19.42578125" customWidth="1"/>
    <col min="13583" max="13583" width="15.5703125" customWidth="1"/>
    <col min="13828" max="13828" width="9.7109375" bestFit="1" customWidth="1"/>
    <col min="13829" max="13829" width="17.140625" bestFit="1" customWidth="1"/>
    <col min="13830" max="13830" width="13.140625" customWidth="1"/>
    <col min="13831" max="13831" width="21.5703125" customWidth="1"/>
    <col min="13832" max="13832" width="15.140625" customWidth="1"/>
    <col min="13833" max="13833" width="11.5703125" bestFit="1" customWidth="1"/>
    <col min="13834" max="13834" width="13.140625" customWidth="1"/>
    <col min="13835" max="13835" width="12.85546875" bestFit="1" customWidth="1"/>
    <col min="13836" max="13836" width="18.28515625" customWidth="1"/>
    <col min="13837" max="13837" width="13.85546875" customWidth="1"/>
    <col min="13838" max="13838" width="19.42578125" customWidth="1"/>
    <col min="13839" max="13839" width="15.5703125" customWidth="1"/>
    <col min="14084" max="14084" width="9.7109375" bestFit="1" customWidth="1"/>
    <col min="14085" max="14085" width="17.140625" bestFit="1" customWidth="1"/>
    <col min="14086" max="14086" width="13.140625" customWidth="1"/>
    <col min="14087" max="14087" width="21.5703125" customWidth="1"/>
    <col min="14088" max="14088" width="15.140625" customWidth="1"/>
    <col min="14089" max="14089" width="11.5703125" bestFit="1" customWidth="1"/>
    <col min="14090" max="14090" width="13.140625" customWidth="1"/>
    <col min="14091" max="14091" width="12.85546875" bestFit="1" customWidth="1"/>
    <col min="14092" max="14092" width="18.28515625" customWidth="1"/>
    <col min="14093" max="14093" width="13.85546875" customWidth="1"/>
    <col min="14094" max="14094" width="19.42578125" customWidth="1"/>
    <col min="14095" max="14095" width="15.5703125" customWidth="1"/>
    <col min="14340" max="14340" width="9.7109375" bestFit="1" customWidth="1"/>
    <col min="14341" max="14341" width="17.140625" bestFit="1" customWidth="1"/>
    <col min="14342" max="14342" width="13.140625" customWidth="1"/>
    <col min="14343" max="14343" width="21.5703125" customWidth="1"/>
    <col min="14344" max="14344" width="15.140625" customWidth="1"/>
    <col min="14345" max="14345" width="11.5703125" bestFit="1" customWidth="1"/>
    <col min="14346" max="14346" width="13.140625" customWidth="1"/>
    <col min="14347" max="14347" width="12.85546875" bestFit="1" customWidth="1"/>
    <col min="14348" max="14348" width="18.28515625" customWidth="1"/>
    <col min="14349" max="14349" width="13.85546875" customWidth="1"/>
    <col min="14350" max="14350" width="19.42578125" customWidth="1"/>
    <col min="14351" max="14351" width="15.5703125" customWidth="1"/>
    <col min="14596" max="14596" width="9.7109375" bestFit="1" customWidth="1"/>
    <col min="14597" max="14597" width="17.140625" bestFit="1" customWidth="1"/>
    <col min="14598" max="14598" width="13.140625" customWidth="1"/>
    <col min="14599" max="14599" width="21.5703125" customWidth="1"/>
    <col min="14600" max="14600" width="15.140625" customWidth="1"/>
    <col min="14601" max="14601" width="11.5703125" bestFit="1" customWidth="1"/>
    <col min="14602" max="14602" width="13.140625" customWidth="1"/>
    <col min="14603" max="14603" width="12.85546875" bestFit="1" customWidth="1"/>
    <col min="14604" max="14604" width="18.28515625" customWidth="1"/>
    <col min="14605" max="14605" width="13.85546875" customWidth="1"/>
    <col min="14606" max="14606" width="19.42578125" customWidth="1"/>
    <col min="14607" max="14607" width="15.5703125" customWidth="1"/>
    <col min="14852" max="14852" width="9.7109375" bestFit="1" customWidth="1"/>
    <col min="14853" max="14853" width="17.140625" bestFit="1" customWidth="1"/>
    <col min="14854" max="14854" width="13.140625" customWidth="1"/>
    <col min="14855" max="14855" width="21.5703125" customWidth="1"/>
    <col min="14856" max="14856" width="15.140625" customWidth="1"/>
    <col min="14857" max="14857" width="11.5703125" bestFit="1" customWidth="1"/>
    <col min="14858" max="14858" width="13.140625" customWidth="1"/>
    <col min="14859" max="14859" width="12.85546875" bestFit="1" customWidth="1"/>
    <col min="14860" max="14860" width="18.28515625" customWidth="1"/>
    <col min="14861" max="14861" width="13.85546875" customWidth="1"/>
    <col min="14862" max="14862" width="19.42578125" customWidth="1"/>
    <col min="14863" max="14863" width="15.5703125" customWidth="1"/>
    <col min="15108" max="15108" width="9.7109375" bestFit="1" customWidth="1"/>
    <col min="15109" max="15109" width="17.140625" bestFit="1" customWidth="1"/>
    <col min="15110" max="15110" width="13.140625" customWidth="1"/>
    <col min="15111" max="15111" width="21.5703125" customWidth="1"/>
    <col min="15112" max="15112" width="15.140625" customWidth="1"/>
    <col min="15113" max="15113" width="11.5703125" bestFit="1" customWidth="1"/>
    <col min="15114" max="15114" width="13.140625" customWidth="1"/>
    <col min="15115" max="15115" width="12.85546875" bestFit="1" customWidth="1"/>
    <col min="15116" max="15116" width="18.28515625" customWidth="1"/>
    <col min="15117" max="15117" width="13.85546875" customWidth="1"/>
    <col min="15118" max="15118" width="19.42578125" customWidth="1"/>
    <col min="15119" max="15119" width="15.5703125" customWidth="1"/>
    <col min="15364" max="15364" width="9.7109375" bestFit="1" customWidth="1"/>
    <col min="15365" max="15365" width="17.140625" bestFit="1" customWidth="1"/>
    <col min="15366" max="15366" width="13.140625" customWidth="1"/>
    <col min="15367" max="15367" width="21.5703125" customWidth="1"/>
    <col min="15368" max="15368" width="15.140625" customWidth="1"/>
    <col min="15369" max="15369" width="11.5703125" bestFit="1" customWidth="1"/>
    <col min="15370" max="15370" width="13.140625" customWidth="1"/>
    <col min="15371" max="15371" width="12.85546875" bestFit="1" customWidth="1"/>
    <col min="15372" max="15372" width="18.28515625" customWidth="1"/>
    <col min="15373" max="15373" width="13.85546875" customWidth="1"/>
    <col min="15374" max="15374" width="19.42578125" customWidth="1"/>
    <col min="15375" max="15375" width="15.5703125" customWidth="1"/>
    <col min="15620" max="15620" width="9.7109375" bestFit="1" customWidth="1"/>
    <col min="15621" max="15621" width="17.140625" bestFit="1" customWidth="1"/>
    <col min="15622" max="15622" width="13.140625" customWidth="1"/>
    <col min="15623" max="15623" width="21.5703125" customWidth="1"/>
    <col min="15624" max="15624" width="15.140625" customWidth="1"/>
    <col min="15625" max="15625" width="11.5703125" bestFit="1" customWidth="1"/>
    <col min="15626" max="15626" width="13.140625" customWidth="1"/>
    <col min="15627" max="15627" width="12.85546875" bestFit="1" customWidth="1"/>
    <col min="15628" max="15628" width="18.28515625" customWidth="1"/>
    <col min="15629" max="15629" width="13.85546875" customWidth="1"/>
    <col min="15630" max="15630" width="19.42578125" customWidth="1"/>
    <col min="15631" max="15631" width="15.5703125" customWidth="1"/>
    <col min="15876" max="15876" width="9.7109375" bestFit="1" customWidth="1"/>
    <col min="15877" max="15877" width="17.140625" bestFit="1" customWidth="1"/>
    <col min="15878" max="15878" width="13.140625" customWidth="1"/>
    <col min="15879" max="15879" width="21.5703125" customWidth="1"/>
    <col min="15880" max="15880" width="15.140625" customWidth="1"/>
    <col min="15881" max="15881" width="11.5703125" bestFit="1" customWidth="1"/>
    <col min="15882" max="15882" width="13.140625" customWidth="1"/>
    <col min="15883" max="15883" width="12.85546875" bestFit="1" customWidth="1"/>
    <col min="15884" max="15884" width="18.28515625" customWidth="1"/>
    <col min="15885" max="15885" width="13.85546875" customWidth="1"/>
    <col min="15886" max="15886" width="19.42578125" customWidth="1"/>
    <col min="15887" max="15887" width="15.5703125" customWidth="1"/>
    <col min="16132" max="16132" width="9.7109375" bestFit="1" customWidth="1"/>
    <col min="16133" max="16133" width="17.140625" bestFit="1" customWidth="1"/>
    <col min="16134" max="16134" width="13.140625" customWidth="1"/>
    <col min="16135" max="16135" width="21.5703125" customWidth="1"/>
    <col min="16136" max="16136" width="15.140625" customWidth="1"/>
    <col min="16137" max="16137" width="11.5703125" bestFit="1" customWidth="1"/>
    <col min="16138" max="16138" width="13.140625" customWidth="1"/>
    <col min="16139" max="16139" width="12.85546875" bestFit="1" customWidth="1"/>
    <col min="16140" max="16140" width="18.28515625" customWidth="1"/>
    <col min="16141" max="16141" width="13.85546875" customWidth="1"/>
    <col min="16142" max="16142" width="19.42578125" customWidth="1"/>
    <col min="16143" max="16143" width="15.5703125" customWidth="1"/>
  </cols>
  <sheetData>
    <row r="1" spans="1:15" ht="26.25" x14ac:dyDescent="0.2">
      <c r="A1" s="191" t="s">
        <v>494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</row>
    <row r="2" spans="1:15" ht="13.5" thickBot="1" x14ac:dyDescent="0.25">
      <c r="D2" s="1"/>
      <c r="E2" s="1"/>
      <c r="F2" s="1"/>
      <c r="G2" s="1"/>
      <c r="H2" s="1"/>
      <c r="I2" s="1"/>
      <c r="J2" s="1"/>
      <c r="K2" s="1"/>
    </row>
    <row r="3" spans="1:15" ht="38.25" x14ac:dyDescent="0.2">
      <c r="A3" s="38" t="s">
        <v>0</v>
      </c>
      <c r="B3" s="43" t="s">
        <v>1</v>
      </c>
      <c r="C3" s="35" t="s">
        <v>421</v>
      </c>
      <c r="D3" s="36" t="s">
        <v>93</v>
      </c>
      <c r="E3" s="37" t="s">
        <v>5</v>
      </c>
      <c r="F3" s="37" t="s">
        <v>81</v>
      </c>
      <c r="G3" s="37" t="s">
        <v>496</v>
      </c>
      <c r="H3" s="37" t="s">
        <v>185</v>
      </c>
      <c r="I3" s="37" t="s">
        <v>497</v>
      </c>
      <c r="J3" s="37" t="s">
        <v>94</v>
      </c>
      <c r="K3" s="37" t="s">
        <v>95</v>
      </c>
      <c r="L3" s="35" t="s">
        <v>96</v>
      </c>
      <c r="M3" s="35" t="s">
        <v>97</v>
      </c>
      <c r="N3" s="35" t="s">
        <v>495</v>
      </c>
      <c r="O3" s="44" t="s">
        <v>98</v>
      </c>
    </row>
    <row r="4" spans="1:15" x14ac:dyDescent="0.2">
      <c r="A4" s="42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20">
        <f t="shared" ref="O4:O19" si="0">+N4-K4</f>
        <v>0</v>
      </c>
    </row>
    <row r="5" spans="1:15" x14ac:dyDescent="0.2">
      <c r="A5" s="4">
        <v>2015</v>
      </c>
      <c r="B5" s="5" t="s">
        <v>2</v>
      </c>
      <c r="C5" s="19"/>
      <c r="D5" s="17"/>
      <c r="E5" s="17"/>
      <c r="F5" s="39"/>
      <c r="G5" s="39"/>
      <c r="H5" s="39"/>
      <c r="I5" s="39"/>
      <c r="J5" s="39">
        <v>0</v>
      </c>
      <c r="K5" s="39">
        <f t="shared" ref="K5:K11" si="1">SUM(C5:J5)</f>
        <v>0</v>
      </c>
      <c r="L5" s="18"/>
      <c r="M5" s="40">
        <f t="shared" ref="M5:M8" si="2">+L5-K5</f>
        <v>0</v>
      </c>
      <c r="N5" s="19"/>
      <c r="O5" s="41">
        <f t="shared" ref="O5:O11" si="3">+N5-K5</f>
        <v>0</v>
      </c>
    </row>
    <row r="6" spans="1:15" x14ac:dyDescent="0.2">
      <c r="A6" s="4"/>
      <c r="B6" s="5" t="s">
        <v>3</v>
      </c>
      <c r="C6" s="19"/>
      <c r="D6" s="17"/>
      <c r="E6" s="17"/>
      <c r="F6" s="39"/>
      <c r="G6" s="39"/>
      <c r="H6" s="39"/>
      <c r="I6" s="39"/>
      <c r="J6" s="21">
        <v>256</v>
      </c>
      <c r="K6" s="21">
        <f t="shared" si="1"/>
        <v>256</v>
      </c>
      <c r="L6" s="18"/>
      <c r="M6" s="40">
        <f t="shared" si="2"/>
        <v>-256</v>
      </c>
      <c r="N6" s="19">
        <v>256</v>
      </c>
      <c r="O6" s="41">
        <f t="shared" si="3"/>
        <v>0</v>
      </c>
    </row>
    <row r="7" spans="1:15" x14ac:dyDescent="0.2">
      <c r="A7" s="4"/>
      <c r="B7" s="5" t="s">
        <v>75</v>
      </c>
      <c r="C7" s="19"/>
      <c r="D7" s="17"/>
      <c r="E7" s="17"/>
      <c r="F7" s="39"/>
      <c r="G7" s="39"/>
      <c r="H7" s="39"/>
      <c r="I7" s="39"/>
      <c r="J7" s="21">
        <v>69</v>
      </c>
      <c r="K7" s="21">
        <f t="shared" si="1"/>
        <v>69</v>
      </c>
      <c r="L7" s="18"/>
      <c r="M7" s="40">
        <f t="shared" si="2"/>
        <v>-69</v>
      </c>
      <c r="N7" s="19">
        <v>69</v>
      </c>
      <c r="O7" s="41">
        <f t="shared" si="3"/>
        <v>0</v>
      </c>
    </row>
    <row r="8" spans="1:15" x14ac:dyDescent="0.2">
      <c r="A8" s="4"/>
      <c r="B8" s="5" t="s">
        <v>165</v>
      </c>
      <c r="C8" s="19"/>
      <c r="D8" s="17"/>
      <c r="E8" s="17"/>
      <c r="F8" s="39"/>
      <c r="G8" s="39"/>
      <c r="H8" s="39"/>
      <c r="I8" s="39"/>
      <c r="J8" s="39"/>
      <c r="K8" s="39">
        <f t="shared" si="1"/>
        <v>0</v>
      </c>
      <c r="L8" s="18"/>
      <c r="M8" s="40">
        <f t="shared" si="2"/>
        <v>0</v>
      </c>
      <c r="N8" s="19"/>
      <c r="O8" s="41">
        <f t="shared" si="3"/>
        <v>0</v>
      </c>
    </row>
    <row r="9" spans="1:15" x14ac:dyDescent="0.2">
      <c r="A9" s="4"/>
      <c r="B9" s="5" t="s">
        <v>167</v>
      </c>
      <c r="C9" s="19"/>
      <c r="D9" s="17"/>
      <c r="E9" s="17"/>
      <c r="F9" s="39"/>
      <c r="G9" s="39"/>
      <c r="H9" s="21"/>
      <c r="I9" s="21"/>
      <c r="J9" s="21"/>
      <c r="K9" s="21">
        <f t="shared" si="1"/>
        <v>0</v>
      </c>
      <c r="L9" s="18"/>
      <c r="M9" s="40"/>
      <c r="N9" s="19"/>
      <c r="O9" s="41">
        <f t="shared" si="3"/>
        <v>0</v>
      </c>
    </row>
    <row r="10" spans="1:15" x14ac:dyDescent="0.2">
      <c r="A10" s="4"/>
      <c r="B10" s="5" t="s">
        <v>166</v>
      </c>
      <c r="C10" s="19"/>
      <c r="D10" s="17"/>
      <c r="E10" s="17">
        <v>-73.5</v>
      </c>
      <c r="F10" s="39"/>
      <c r="G10" s="39">
        <v>-28</v>
      </c>
      <c r="H10" s="39"/>
      <c r="I10" s="39"/>
      <c r="J10" s="39">
        <v>3732</v>
      </c>
      <c r="K10" s="39">
        <f>SUM(C10:J10)</f>
        <v>3630.5</v>
      </c>
      <c r="L10" s="18"/>
      <c r="M10" s="40"/>
      <c r="N10" s="19">
        <f>3670.5-40</f>
        <v>3630.5</v>
      </c>
      <c r="O10" s="41">
        <f t="shared" si="3"/>
        <v>0</v>
      </c>
    </row>
    <row r="11" spans="1:15" x14ac:dyDescent="0.2">
      <c r="A11" s="4"/>
      <c r="B11" s="5" t="s">
        <v>4</v>
      </c>
      <c r="C11" s="19"/>
      <c r="D11" s="17"/>
      <c r="E11" s="17"/>
      <c r="F11" s="39"/>
      <c r="G11" s="39"/>
      <c r="H11" s="39"/>
      <c r="I11" s="39"/>
      <c r="J11" s="21"/>
      <c r="K11" s="21">
        <f t="shared" si="1"/>
        <v>0</v>
      </c>
      <c r="L11" s="18"/>
      <c r="M11" s="40">
        <f t="shared" ref="M11" si="4">+L11-K11</f>
        <v>0</v>
      </c>
      <c r="N11" s="19"/>
      <c r="O11" s="41">
        <f t="shared" si="3"/>
        <v>0</v>
      </c>
    </row>
    <row r="12" spans="1:15" x14ac:dyDescent="0.2">
      <c r="A12" s="42"/>
      <c r="B12" s="45"/>
      <c r="C12" s="55"/>
      <c r="D12" s="45"/>
      <c r="E12" s="45"/>
      <c r="F12" s="45"/>
      <c r="G12" s="45"/>
      <c r="H12" s="45"/>
      <c r="I12" s="45"/>
      <c r="J12" s="45"/>
      <c r="K12" s="45"/>
      <c r="L12" s="55"/>
      <c r="M12" s="55"/>
      <c r="N12" s="55"/>
      <c r="O12" s="20"/>
    </row>
    <row r="13" spans="1:15" x14ac:dyDescent="0.2">
      <c r="A13" s="4">
        <v>2014</v>
      </c>
      <c r="B13" s="5" t="s">
        <v>2</v>
      </c>
      <c r="C13" s="19"/>
      <c r="D13" s="17"/>
      <c r="E13" s="17"/>
      <c r="F13" s="39"/>
      <c r="G13" s="39"/>
      <c r="H13" s="39"/>
      <c r="I13" s="39"/>
      <c r="J13" s="39">
        <v>0</v>
      </c>
      <c r="K13" s="39">
        <f t="shared" ref="K13:K19" si="5">SUM(C13:J13)</f>
        <v>0</v>
      </c>
      <c r="L13" s="18"/>
      <c r="M13" s="40">
        <f t="shared" ref="M13:M16" si="6">+L13-K13</f>
        <v>0</v>
      </c>
      <c r="N13" s="19"/>
      <c r="O13" s="41">
        <f t="shared" si="0"/>
        <v>0</v>
      </c>
    </row>
    <row r="14" spans="1:15" x14ac:dyDescent="0.2">
      <c r="A14" s="4"/>
      <c r="B14" s="5" t="s">
        <v>3</v>
      </c>
      <c r="C14" s="19">
        <v>426</v>
      </c>
      <c r="D14" s="17">
        <v>-420.28</v>
      </c>
      <c r="E14" s="17">
        <v>-5.72</v>
      </c>
      <c r="F14" s="39"/>
      <c r="G14" s="39"/>
      <c r="H14" s="39"/>
      <c r="I14" s="39"/>
      <c r="J14" s="21"/>
      <c r="K14" s="21">
        <f t="shared" si="5"/>
        <v>2.7533531010703882E-14</v>
      </c>
      <c r="L14" s="18"/>
      <c r="M14" s="40">
        <f t="shared" si="6"/>
        <v>-2.7533531010703882E-14</v>
      </c>
      <c r="N14" s="19"/>
      <c r="O14" s="41">
        <f t="shared" si="0"/>
        <v>-2.7533531010703882E-14</v>
      </c>
    </row>
    <row r="15" spans="1:15" x14ac:dyDescent="0.2">
      <c r="A15" s="4"/>
      <c r="B15" s="5" t="s">
        <v>75</v>
      </c>
      <c r="C15" s="19"/>
      <c r="D15" s="17"/>
      <c r="E15" s="17"/>
      <c r="F15" s="39">
        <v>0</v>
      </c>
      <c r="G15" s="39"/>
      <c r="H15" s="39"/>
      <c r="I15" s="39"/>
      <c r="J15" s="21"/>
      <c r="K15" s="21">
        <f t="shared" si="5"/>
        <v>0</v>
      </c>
      <c r="L15" s="18"/>
      <c r="M15" s="40">
        <f t="shared" si="6"/>
        <v>0</v>
      </c>
      <c r="N15" s="19"/>
      <c r="O15" s="41">
        <f t="shared" si="0"/>
        <v>0</v>
      </c>
    </row>
    <row r="16" spans="1:15" x14ac:dyDescent="0.2">
      <c r="A16" s="4"/>
      <c r="B16" s="5" t="s">
        <v>165</v>
      </c>
      <c r="C16" s="19">
        <v>150</v>
      </c>
      <c r="D16" s="17"/>
      <c r="E16" s="17">
        <v>2</v>
      </c>
      <c r="F16" s="39"/>
      <c r="G16" s="39"/>
      <c r="H16" s="39"/>
      <c r="I16" s="39"/>
      <c r="J16" s="39"/>
      <c r="K16" s="39">
        <f t="shared" si="5"/>
        <v>152</v>
      </c>
      <c r="L16" s="18"/>
      <c r="M16" s="40">
        <f t="shared" si="6"/>
        <v>-152</v>
      </c>
      <c r="N16" s="19">
        <v>152</v>
      </c>
      <c r="O16" s="41">
        <f t="shared" si="0"/>
        <v>0</v>
      </c>
    </row>
    <row r="17" spans="1:15" x14ac:dyDescent="0.2">
      <c r="A17" s="4"/>
      <c r="B17" s="5" t="s">
        <v>167</v>
      </c>
      <c r="C17" s="19">
        <v>1370</v>
      </c>
      <c r="D17" s="17"/>
      <c r="E17" s="17">
        <v>-49.95</v>
      </c>
      <c r="F17" s="39">
        <v>0</v>
      </c>
      <c r="G17" s="39"/>
      <c r="H17" s="21">
        <f>0-423.37</f>
        <v>-423.37</v>
      </c>
      <c r="I17" s="21">
        <v>-96.68</v>
      </c>
      <c r="J17" s="21"/>
      <c r="K17" s="21">
        <f t="shared" si="5"/>
        <v>800</v>
      </c>
      <c r="L17" s="18"/>
      <c r="M17" s="40"/>
      <c r="N17" s="19">
        <v>800</v>
      </c>
      <c r="O17" s="41">
        <f t="shared" si="0"/>
        <v>0</v>
      </c>
    </row>
    <row r="18" spans="1:15" x14ac:dyDescent="0.2">
      <c r="A18" s="4"/>
      <c r="B18" s="5" t="s">
        <v>166</v>
      </c>
      <c r="C18" s="19">
        <v>1370</v>
      </c>
      <c r="D18" s="17"/>
      <c r="E18" s="17">
        <v>9.9499999999999993</v>
      </c>
      <c r="F18" s="39"/>
      <c r="G18" s="39">
        <v>-14</v>
      </c>
      <c r="H18" s="39">
        <v>423.37</v>
      </c>
      <c r="I18" s="39">
        <v>96.68</v>
      </c>
      <c r="J18" s="39"/>
      <c r="K18" s="39">
        <f t="shared" si="5"/>
        <v>1886.0000000000002</v>
      </c>
      <c r="L18" s="18"/>
      <c r="M18" s="40"/>
      <c r="N18" s="19">
        <v>1886</v>
      </c>
      <c r="O18" s="41">
        <f t="shared" si="0"/>
        <v>0</v>
      </c>
    </row>
    <row r="19" spans="1:15" x14ac:dyDescent="0.2">
      <c r="A19" s="4"/>
      <c r="B19" s="5" t="s">
        <v>4</v>
      </c>
      <c r="C19" s="19">
        <v>60</v>
      </c>
      <c r="D19" s="17">
        <v>0</v>
      </c>
      <c r="E19" s="17"/>
      <c r="F19" s="39">
        <v>-60</v>
      </c>
      <c r="G19" s="39"/>
      <c r="H19" s="39"/>
      <c r="I19" s="39"/>
      <c r="J19" s="21"/>
      <c r="K19" s="21">
        <f t="shared" si="5"/>
        <v>0</v>
      </c>
      <c r="L19" s="18"/>
      <c r="M19" s="40">
        <f t="shared" ref="M19" si="7">+L19-K19</f>
        <v>0</v>
      </c>
      <c r="N19" s="19"/>
      <c r="O19" s="41">
        <f t="shared" si="0"/>
        <v>0</v>
      </c>
    </row>
    <row r="20" spans="1:15" x14ac:dyDescent="0.2">
      <c r="A20" s="42"/>
      <c r="B20" s="45"/>
      <c r="C20" s="55"/>
      <c r="D20" s="45"/>
      <c r="E20" s="45"/>
      <c r="F20" s="45"/>
      <c r="G20" s="45"/>
      <c r="H20" s="45"/>
      <c r="I20" s="45"/>
      <c r="J20" s="45"/>
      <c r="K20" s="45"/>
      <c r="L20" s="55"/>
      <c r="M20" s="55"/>
      <c r="N20" s="55"/>
      <c r="O20" s="20"/>
    </row>
    <row r="21" spans="1:15" x14ac:dyDescent="0.2">
      <c r="A21" s="4">
        <v>2013</v>
      </c>
      <c r="B21" s="5" t="s">
        <v>2</v>
      </c>
      <c r="C21" s="19"/>
      <c r="D21" s="17"/>
      <c r="E21" s="17"/>
      <c r="F21" s="39"/>
      <c r="G21" s="39"/>
      <c r="H21" s="39"/>
      <c r="I21" s="39"/>
      <c r="J21" s="39"/>
      <c r="K21" s="39">
        <f t="shared" ref="K21:K27" si="8">SUM(C21:J21)</f>
        <v>0</v>
      </c>
      <c r="L21" s="18"/>
      <c r="M21" s="40">
        <f t="shared" ref="M21:M27" si="9">+L21-K21</f>
        <v>0</v>
      </c>
      <c r="N21" s="19"/>
      <c r="O21" s="41">
        <f t="shared" ref="O21:O27" si="10">+N21-K21</f>
        <v>0</v>
      </c>
    </row>
    <row r="22" spans="1:15" x14ac:dyDescent="0.2">
      <c r="A22" s="4"/>
      <c r="B22" s="5" t="s">
        <v>3</v>
      </c>
      <c r="C22" s="19"/>
      <c r="D22" s="17"/>
      <c r="E22" s="17"/>
      <c r="F22" s="39"/>
      <c r="G22" s="39"/>
      <c r="H22" s="39"/>
      <c r="I22" s="39"/>
      <c r="J22" s="21"/>
      <c r="K22" s="21">
        <f t="shared" si="8"/>
        <v>0</v>
      </c>
      <c r="L22" s="18"/>
      <c r="M22" s="40">
        <f t="shared" si="9"/>
        <v>0</v>
      </c>
      <c r="N22" s="19"/>
      <c r="O22" s="41">
        <f t="shared" si="10"/>
        <v>0</v>
      </c>
    </row>
    <row r="23" spans="1:15" x14ac:dyDescent="0.2">
      <c r="A23" s="4"/>
      <c r="B23" s="5" t="s">
        <v>75</v>
      </c>
      <c r="C23" s="19"/>
      <c r="D23" s="17"/>
      <c r="E23" s="17"/>
      <c r="F23" s="39"/>
      <c r="G23" s="39"/>
      <c r="H23" s="39"/>
      <c r="I23" s="39"/>
      <c r="J23" s="21"/>
      <c r="K23" s="21">
        <f t="shared" si="8"/>
        <v>0</v>
      </c>
      <c r="L23" s="18"/>
      <c r="M23" s="40">
        <f t="shared" si="9"/>
        <v>0</v>
      </c>
      <c r="N23" s="19"/>
      <c r="O23" s="41">
        <f t="shared" si="10"/>
        <v>0</v>
      </c>
    </row>
    <row r="24" spans="1:15" x14ac:dyDescent="0.2">
      <c r="A24" s="4"/>
      <c r="B24" s="5" t="s">
        <v>165</v>
      </c>
      <c r="C24" s="19"/>
      <c r="D24" s="17"/>
      <c r="E24" s="17"/>
      <c r="F24" s="39"/>
      <c r="G24" s="39"/>
      <c r="H24" s="39"/>
      <c r="I24" s="39"/>
      <c r="J24" s="39"/>
      <c r="K24" s="39">
        <f t="shared" si="8"/>
        <v>0</v>
      </c>
      <c r="L24" s="18"/>
      <c r="M24" s="40">
        <f t="shared" si="9"/>
        <v>0</v>
      </c>
      <c r="N24" s="19"/>
      <c r="O24" s="41">
        <f t="shared" si="10"/>
        <v>0</v>
      </c>
    </row>
    <row r="25" spans="1:15" x14ac:dyDescent="0.2">
      <c r="A25" s="4"/>
      <c r="B25" s="5" t="s">
        <v>167</v>
      </c>
      <c r="C25" s="19">
        <v>2608</v>
      </c>
      <c r="D25" s="17">
        <f>-(146.76+3.98+0.9)-1201.13-5.54-35.55-422.4-696.83</f>
        <v>-2513.0899999999997</v>
      </c>
      <c r="E25" s="17">
        <f>-88.64-6.27</f>
        <v>-94.91</v>
      </c>
      <c r="F25" s="39"/>
      <c r="G25" s="39"/>
      <c r="H25" s="21">
        <v>0</v>
      </c>
      <c r="I25" s="21"/>
      <c r="J25" s="21">
        <v>0</v>
      </c>
      <c r="K25" s="21">
        <f t="shared" si="8"/>
        <v>3.1263880373444408E-13</v>
      </c>
      <c r="L25" s="18"/>
      <c r="M25" s="40">
        <f t="shared" si="9"/>
        <v>-3.1263880373444408E-13</v>
      </c>
      <c r="N25" s="19"/>
      <c r="O25" s="41">
        <f t="shared" si="10"/>
        <v>-3.1263880373444408E-13</v>
      </c>
    </row>
    <row r="26" spans="1:15" x14ac:dyDescent="0.2">
      <c r="A26" s="4"/>
      <c r="B26" s="5" t="s">
        <v>166</v>
      </c>
      <c r="C26" s="19"/>
      <c r="D26" s="17"/>
      <c r="E26" s="17"/>
      <c r="F26" s="39"/>
      <c r="G26" s="39"/>
      <c r="H26" s="39"/>
      <c r="I26" s="39"/>
      <c r="J26" s="39"/>
      <c r="K26" s="39">
        <f t="shared" si="8"/>
        <v>0</v>
      </c>
      <c r="L26" s="18"/>
      <c r="M26" s="40">
        <f t="shared" si="9"/>
        <v>0</v>
      </c>
      <c r="N26" s="19"/>
      <c r="O26" s="41">
        <f t="shared" si="10"/>
        <v>0</v>
      </c>
    </row>
    <row r="27" spans="1:15" x14ac:dyDescent="0.2">
      <c r="A27" s="4"/>
      <c r="B27" s="5" t="s">
        <v>4</v>
      </c>
      <c r="C27" s="19"/>
      <c r="D27" s="17"/>
      <c r="E27" s="17"/>
      <c r="F27" s="39"/>
      <c r="G27" s="39"/>
      <c r="H27" s="39"/>
      <c r="I27" s="39"/>
      <c r="J27" s="21"/>
      <c r="K27" s="21">
        <f t="shared" si="8"/>
        <v>0</v>
      </c>
      <c r="L27" s="18"/>
      <c r="M27" s="40">
        <f t="shared" si="9"/>
        <v>0</v>
      </c>
      <c r="N27" s="19"/>
      <c r="O27" s="41">
        <f t="shared" si="10"/>
        <v>0</v>
      </c>
    </row>
    <row r="28" spans="1:15" x14ac:dyDescent="0.2">
      <c r="A28" s="42"/>
      <c r="B28" s="45"/>
      <c r="C28" s="55"/>
      <c r="D28" s="45"/>
      <c r="E28" s="45"/>
      <c r="F28" s="45"/>
      <c r="G28" s="45"/>
      <c r="H28" s="45"/>
      <c r="I28" s="45"/>
      <c r="J28" s="45"/>
      <c r="K28" s="45"/>
      <c r="L28" s="55"/>
      <c r="M28" s="55"/>
      <c r="N28" s="55"/>
      <c r="O28" s="20"/>
    </row>
    <row r="29" spans="1:15" ht="13.5" thickBot="1" x14ac:dyDescent="0.25">
      <c r="O29" s="22"/>
    </row>
    <row r="30" spans="1:15" x14ac:dyDescent="0.2">
      <c r="B30" s="23" t="s">
        <v>99</v>
      </c>
      <c r="C30" s="24">
        <f>SUM(C4:C28)</f>
        <v>5984</v>
      </c>
      <c r="D30" s="24">
        <f>SUM(D4:D28)</f>
        <v>-2933.37</v>
      </c>
      <c r="E30" s="24">
        <f>SUM(E4:E28)</f>
        <v>-212.13</v>
      </c>
      <c r="F30" s="24">
        <f>SUM(F4:F28)</f>
        <v>-60</v>
      </c>
      <c r="G30" s="24"/>
      <c r="H30" s="24"/>
      <c r="I30" s="24"/>
      <c r="J30" s="24">
        <f t="shared" ref="J30:O30" si="11">SUM(J4:J28)</f>
        <v>4057</v>
      </c>
      <c r="K30" s="24">
        <f t="shared" si="11"/>
        <v>6793.5</v>
      </c>
      <c r="L30" s="24">
        <f t="shared" si="11"/>
        <v>0</v>
      </c>
      <c r="M30" s="24">
        <f t="shared" si="11"/>
        <v>-477.00000000000034</v>
      </c>
      <c r="N30" s="24">
        <f t="shared" si="11"/>
        <v>6793.5</v>
      </c>
      <c r="O30" s="24">
        <f t="shared" si="11"/>
        <v>-3.4017233474514796E-13</v>
      </c>
    </row>
    <row r="31" spans="1:15" ht="13.5" thickBot="1" x14ac:dyDescent="0.25">
      <c r="B31" s="25" t="s">
        <v>100</v>
      </c>
      <c r="C31" s="26">
        <f>C30*133</f>
        <v>795872</v>
      </c>
      <c r="D31" s="26">
        <f>D30*133</f>
        <v>-390138.20999999996</v>
      </c>
      <c r="E31" s="26">
        <f>E30*133</f>
        <v>-28213.29</v>
      </c>
      <c r="F31" s="26">
        <f>F30*133</f>
        <v>-7980</v>
      </c>
      <c r="G31" s="26"/>
      <c r="H31" s="26"/>
      <c r="I31" s="26"/>
      <c r="J31" s="26">
        <f t="shared" ref="J31:O31" si="12">J30*133</f>
        <v>539581</v>
      </c>
      <c r="K31" s="26">
        <f t="shared" si="12"/>
        <v>903535.5</v>
      </c>
      <c r="L31" s="26">
        <f t="shared" si="12"/>
        <v>0</v>
      </c>
      <c r="M31" s="26">
        <f t="shared" si="12"/>
        <v>-63441.000000000044</v>
      </c>
      <c r="N31" s="26">
        <f t="shared" si="12"/>
        <v>903535.5</v>
      </c>
      <c r="O31" s="27">
        <f t="shared" si="12"/>
        <v>-4.5242920521104679E-11</v>
      </c>
    </row>
    <row r="32" spans="1:15" x14ac:dyDescent="0.2">
      <c r="F32" s="28"/>
      <c r="G32" s="28"/>
      <c r="H32" s="28"/>
      <c r="I32" s="28"/>
      <c r="J32" s="6"/>
      <c r="K32" s="7"/>
      <c r="L32" s="1"/>
    </row>
    <row r="33" spans="2:12" ht="15" x14ac:dyDescent="0.2">
      <c r="B33" s="1" t="s">
        <v>101</v>
      </c>
      <c r="C33" s="29">
        <v>64</v>
      </c>
      <c r="D33" s="1"/>
      <c r="E33" s="1"/>
      <c r="F33" s="30"/>
      <c r="G33" s="30"/>
      <c r="H33" s="30"/>
      <c r="I33" s="30"/>
      <c r="J33" s="8"/>
      <c r="K33" s="9"/>
      <c r="L33" s="31"/>
    </row>
    <row r="34" spans="2:12" x14ac:dyDescent="0.2">
      <c r="B34" s="10" t="s">
        <v>102</v>
      </c>
      <c r="C34" s="32">
        <v>49</v>
      </c>
      <c r="D34" s="1"/>
      <c r="E34" s="1"/>
      <c r="F34" s="28"/>
      <c r="G34" s="28"/>
      <c r="H34" s="28"/>
      <c r="I34" s="28"/>
      <c r="J34" s="6"/>
      <c r="K34" s="7"/>
      <c r="L34" s="1"/>
    </row>
    <row r="35" spans="2:12" ht="13.5" thickBot="1" x14ac:dyDescent="0.25">
      <c r="B35" s="10" t="s">
        <v>103</v>
      </c>
      <c r="C35" s="3">
        <v>20</v>
      </c>
      <c r="D35" s="1"/>
      <c r="E35" s="1"/>
      <c r="F35" s="1"/>
      <c r="G35" s="1"/>
      <c r="H35" s="1"/>
      <c r="I35" s="1"/>
      <c r="J35" s="7"/>
      <c r="K35" s="1"/>
    </row>
    <row r="36" spans="2:12" ht="13.5" thickBot="1" x14ac:dyDescent="0.25">
      <c r="B36" s="1"/>
      <c r="C36" s="3"/>
      <c r="D36" s="1"/>
      <c r="E36" s="1"/>
      <c r="F36" s="1"/>
      <c r="G36" s="1"/>
      <c r="H36" s="1"/>
      <c r="I36" s="1"/>
      <c r="J36" s="33"/>
      <c r="K36" s="1"/>
    </row>
    <row r="37" spans="2:12" ht="13.5" thickBot="1" x14ac:dyDescent="0.25">
      <c r="B37" s="1"/>
      <c r="C37" s="3"/>
      <c r="D37" s="1"/>
      <c r="E37" s="1"/>
      <c r="F37" s="1"/>
      <c r="G37" s="1"/>
      <c r="H37" s="1"/>
      <c r="I37" s="1"/>
      <c r="J37" s="34" t="s">
        <v>104</v>
      </c>
      <c r="K37" s="1"/>
    </row>
    <row r="38" spans="2:12" x14ac:dyDescent="0.2">
      <c r="B38" s="1"/>
      <c r="C38" s="3"/>
      <c r="D38" s="1"/>
      <c r="E38" s="1"/>
      <c r="F38" s="1"/>
      <c r="G38" s="1"/>
      <c r="H38" s="1"/>
      <c r="I38" s="1"/>
      <c r="J38" s="1"/>
      <c r="K38" s="1"/>
    </row>
  </sheetData>
  <mergeCells count="1">
    <mergeCell ref="A1:O1"/>
  </mergeCells>
  <pageMargins left="0.25" right="0.25" top="0.75" bottom="0.75" header="0.3" footer="0.3"/>
  <pageSetup paperSize="9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6"/>
  <sheetViews>
    <sheetView workbookViewId="0">
      <selection activeCell="E24" sqref="E24"/>
    </sheetView>
  </sheetViews>
  <sheetFormatPr baseColWidth="10" defaultRowHeight="12.75" x14ac:dyDescent="0.2"/>
  <cols>
    <col min="1" max="1" width="17.7109375" bestFit="1" customWidth="1"/>
    <col min="2" max="2" width="16.140625" bestFit="1" customWidth="1"/>
    <col min="3" max="3" width="12.85546875" bestFit="1" customWidth="1"/>
  </cols>
  <sheetData>
    <row r="1" spans="1:3" x14ac:dyDescent="0.2">
      <c r="A1" t="s">
        <v>189</v>
      </c>
    </row>
    <row r="5" spans="1:3" x14ac:dyDescent="0.2">
      <c r="A5" t="s">
        <v>190</v>
      </c>
      <c r="B5" s="78">
        <f>+SUM(B7:B49)</f>
        <v>125824</v>
      </c>
      <c r="C5" s="78">
        <f>+SUM(C7:C49)</f>
        <v>493761.52</v>
      </c>
    </row>
    <row r="6" spans="1:3" x14ac:dyDescent="0.2">
      <c r="A6" s="77" t="s">
        <v>191</v>
      </c>
      <c r="B6" s="77" t="s">
        <v>192</v>
      </c>
      <c r="C6" s="77" t="s">
        <v>193</v>
      </c>
    </row>
    <row r="7" spans="1:3" ht="15" x14ac:dyDescent="0.25">
      <c r="A7" s="76" t="s">
        <v>138</v>
      </c>
      <c r="B7" s="75">
        <v>26108</v>
      </c>
      <c r="C7" s="75">
        <v>83675.070000000007</v>
      </c>
    </row>
    <row r="8" spans="1:3" ht="15" x14ac:dyDescent="0.25">
      <c r="A8" s="76" t="s">
        <v>148</v>
      </c>
      <c r="B8" s="75">
        <v>23388</v>
      </c>
      <c r="C8" s="75">
        <v>70881.23</v>
      </c>
    </row>
    <row r="9" spans="1:3" ht="15" x14ac:dyDescent="0.25">
      <c r="A9" s="76" t="s">
        <v>154</v>
      </c>
      <c r="B9" s="75">
        <v>5</v>
      </c>
      <c r="C9" s="75">
        <v>67.92</v>
      </c>
    </row>
    <row r="10" spans="1:3" ht="15" x14ac:dyDescent="0.25">
      <c r="A10" s="76" t="s">
        <v>158</v>
      </c>
      <c r="B10" s="75">
        <v>13745</v>
      </c>
      <c r="C10" s="75">
        <v>42846.57</v>
      </c>
    </row>
    <row r="11" spans="1:3" ht="15" x14ac:dyDescent="0.25">
      <c r="A11" s="76" t="s">
        <v>194</v>
      </c>
      <c r="B11" s="75">
        <v>2</v>
      </c>
      <c r="C11" s="75">
        <v>-10.15</v>
      </c>
    </row>
    <row r="12" spans="1:3" ht="15" x14ac:dyDescent="0.25">
      <c r="A12" s="76" t="s">
        <v>195</v>
      </c>
      <c r="B12" s="75">
        <v>14791</v>
      </c>
      <c r="C12" s="75">
        <v>92489.74</v>
      </c>
    </row>
    <row r="13" spans="1:3" ht="15" x14ac:dyDescent="0.25">
      <c r="A13" s="76" t="s">
        <v>127</v>
      </c>
      <c r="B13" s="75">
        <v>105</v>
      </c>
      <c r="C13" s="75">
        <v>2417.9</v>
      </c>
    </row>
    <row r="14" spans="1:3" ht="15" x14ac:dyDescent="0.25">
      <c r="A14" s="76" t="s">
        <v>199</v>
      </c>
      <c r="B14" s="75">
        <v>1</v>
      </c>
      <c r="C14" s="75">
        <v>0</v>
      </c>
    </row>
    <row r="15" spans="1:3" ht="15" x14ac:dyDescent="0.25">
      <c r="A15" s="76" t="s">
        <v>130</v>
      </c>
      <c r="B15" s="75">
        <v>4861</v>
      </c>
      <c r="C15" s="75">
        <v>27292.74</v>
      </c>
    </row>
    <row r="16" spans="1:3" ht="15" x14ac:dyDescent="0.25">
      <c r="A16" s="76" t="s">
        <v>177</v>
      </c>
      <c r="B16" s="75">
        <v>93</v>
      </c>
      <c r="C16" s="75">
        <v>0</v>
      </c>
    </row>
    <row r="17" spans="1:3" ht="15" x14ac:dyDescent="0.25">
      <c r="A17" s="76" t="s">
        <v>178</v>
      </c>
      <c r="B17" s="75">
        <v>29</v>
      </c>
      <c r="C17" s="75">
        <v>0</v>
      </c>
    </row>
    <row r="18" spans="1:3" ht="15" x14ac:dyDescent="0.25">
      <c r="A18" s="76" t="s">
        <v>196</v>
      </c>
      <c r="B18" s="75">
        <v>4511</v>
      </c>
      <c r="C18" s="75">
        <v>20745.3</v>
      </c>
    </row>
    <row r="19" spans="1:3" ht="15" x14ac:dyDescent="0.25">
      <c r="A19" s="76" t="s">
        <v>200</v>
      </c>
      <c r="B19" s="75">
        <v>6</v>
      </c>
      <c r="C19" s="75">
        <v>72</v>
      </c>
    </row>
    <row r="20" spans="1:3" ht="15" x14ac:dyDescent="0.25">
      <c r="A20" s="76" t="s">
        <v>137</v>
      </c>
      <c r="B20" s="75">
        <v>2040</v>
      </c>
      <c r="C20" s="75">
        <v>10370</v>
      </c>
    </row>
    <row r="21" spans="1:3" ht="15" x14ac:dyDescent="0.25">
      <c r="A21" s="76" t="s">
        <v>137</v>
      </c>
      <c r="B21" s="75">
        <v>16550</v>
      </c>
      <c r="C21" s="75">
        <v>81618.47</v>
      </c>
    </row>
    <row r="22" spans="1:3" ht="15" x14ac:dyDescent="0.25">
      <c r="A22" s="76" t="s">
        <v>136</v>
      </c>
      <c r="B22" s="75">
        <v>74</v>
      </c>
      <c r="C22" s="75">
        <v>1158.52</v>
      </c>
    </row>
    <row r="23" spans="1:3" ht="15" x14ac:dyDescent="0.25">
      <c r="A23" s="76" t="s">
        <v>141</v>
      </c>
      <c r="B23" s="75">
        <v>1141</v>
      </c>
      <c r="C23" s="75">
        <v>4411.38</v>
      </c>
    </row>
    <row r="24" spans="1:3" ht="15" x14ac:dyDescent="0.25">
      <c r="A24" s="76" t="s">
        <v>174</v>
      </c>
      <c r="B24" s="75">
        <v>73</v>
      </c>
      <c r="C24" s="75">
        <v>456.6</v>
      </c>
    </row>
    <row r="25" spans="1:3" ht="15" x14ac:dyDescent="0.25">
      <c r="A25" s="76" t="s">
        <v>176</v>
      </c>
      <c r="B25" s="75">
        <v>91</v>
      </c>
      <c r="C25" s="75">
        <v>0</v>
      </c>
    </row>
    <row r="26" spans="1:3" ht="15" x14ac:dyDescent="0.25">
      <c r="A26" s="76" t="s">
        <v>197</v>
      </c>
      <c r="B26" s="75">
        <v>2</v>
      </c>
      <c r="C26" s="75">
        <v>0</v>
      </c>
    </row>
    <row r="27" spans="1:3" ht="15" x14ac:dyDescent="0.25">
      <c r="A27" s="76" t="s">
        <v>198</v>
      </c>
      <c r="B27" s="75">
        <v>18</v>
      </c>
      <c r="C27" s="75">
        <v>105.11</v>
      </c>
    </row>
    <row r="28" spans="1:3" ht="15" x14ac:dyDescent="0.25">
      <c r="A28" s="76" t="s">
        <v>201</v>
      </c>
      <c r="B28" s="75">
        <v>0</v>
      </c>
      <c r="C28" s="75">
        <v>0</v>
      </c>
    </row>
    <row r="29" spans="1:3" ht="15" x14ac:dyDescent="0.25">
      <c r="A29" s="76" t="s">
        <v>202</v>
      </c>
      <c r="B29" s="75">
        <v>6729</v>
      </c>
      <c r="C29" s="75">
        <v>15079.1</v>
      </c>
    </row>
    <row r="30" spans="1:3" ht="15" x14ac:dyDescent="0.25">
      <c r="A30" s="76" t="s">
        <v>203</v>
      </c>
      <c r="B30" s="75">
        <v>6</v>
      </c>
      <c r="C30" s="75">
        <v>21</v>
      </c>
    </row>
    <row r="31" spans="1:3" ht="15" x14ac:dyDescent="0.25">
      <c r="A31" s="76" t="s">
        <v>204</v>
      </c>
      <c r="B31" s="75">
        <v>0</v>
      </c>
      <c r="C31" s="75"/>
    </row>
    <row r="32" spans="1:3" ht="15" x14ac:dyDescent="0.25">
      <c r="A32" s="76" t="s">
        <v>205</v>
      </c>
      <c r="B32" s="75">
        <v>1</v>
      </c>
      <c r="C32" s="75">
        <v>49.33</v>
      </c>
    </row>
    <row r="33" spans="1:3" ht="15" x14ac:dyDescent="0.25">
      <c r="A33" s="76" t="s">
        <v>206</v>
      </c>
      <c r="B33" s="75">
        <v>11433</v>
      </c>
      <c r="C33" s="75">
        <v>39828.089999999997</v>
      </c>
    </row>
    <row r="34" spans="1:3" ht="15" x14ac:dyDescent="0.25">
      <c r="A34" s="76" t="s">
        <v>207</v>
      </c>
      <c r="B34" s="75">
        <v>21</v>
      </c>
      <c r="C34" s="75">
        <v>185.6</v>
      </c>
    </row>
    <row r="35" spans="1:3" ht="15" x14ac:dyDescent="0.25">
      <c r="A35" s="76"/>
      <c r="B35" s="75"/>
      <c r="C35" s="75"/>
    </row>
    <row r="36" spans="1:3" ht="15" x14ac:dyDescent="0.25">
      <c r="A36" s="76"/>
      <c r="B36" s="75"/>
      <c r="C36" s="75"/>
    </row>
    <row r="37" spans="1:3" ht="15" x14ac:dyDescent="0.25">
      <c r="A37" s="76"/>
      <c r="B37" s="75"/>
      <c r="C37" s="75"/>
    </row>
    <row r="38" spans="1:3" ht="15" x14ac:dyDescent="0.25">
      <c r="A38" s="76"/>
      <c r="B38" s="75"/>
      <c r="C38" s="75"/>
    </row>
    <row r="39" spans="1:3" ht="15" x14ac:dyDescent="0.25">
      <c r="A39" s="76"/>
      <c r="B39" s="75"/>
      <c r="C39" s="75"/>
    </row>
    <row r="40" spans="1:3" ht="15" x14ac:dyDescent="0.25">
      <c r="A40" s="76"/>
      <c r="B40" s="75"/>
      <c r="C40" s="75"/>
    </row>
    <row r="41" spans="1:3" ht="15" x14ac:dyDescent="0.25">
      <c r="A41" s="76"/>
      <c r="B41" s="75"/>
      <c r="C41" s="75"/>
    </row>
    <row r="42" spans="1:3" ht="15" x14ac:dyDescent="0.25">
      <c r="A42" s="76"/>
      <c r="B42" s="75"/>
      <c r="C42" s="75"/>
    </row>
    <row r="43" spans="1:3" ht="15" x14ac:dyDescent="0.25">
      <c r="A43" s="76"/>
      <c r="B43" s="75"/>
      <c r="C43" s="75"/>
    </row>
    <row r="44" spans="1:3" ht="15" x14ac:dyDescent="0.25">
      <c r="A44" s="76"/>
      <c r="B44" s="75"/>
      <c r="C44" s="75"/>
    </row>
    <row r="45" spans="1:3" ht="15" x14ac:dyDescent="0.25">
      <c r="A45" s="76"/>
      <c r="B45" s="75"/>
      <c r="C45" s="75"/>
    </row>
    <row r="46" spans="1:3" ht="15" x14ac:dyDescent="0.25">
      <c r="A46" s="76"/>
      <c r="B46" s="75"/>
      <c r="C46" s="75"/>
    </row>
    <row r="47" spans="1:3" ht="15" x14ac:dyDescent="0.25">
      <c r="A47" s="76"/>
      <c r="B47" s="75"/>
      <c r="C47" s="75"/>
    </row>
    <row r="48" spans="1:3" ht="15" x14ac:dyDescent="0.25">
      <c r="A48" s="76"/>
      <c r="B48" s="75"/>
      <c r="C48" s="75"/>
    </row>
    <row r="49" spans="1:3" ht="15" x14ac:dyDescent="0.25">
      <c r="A49" s="76"/>
      <c r="B49" s="75"/>
      <c r="C49" s="75"/>
    </row>
    <row r="50" spans="1:3" ht="15" x14ac:dyDescent="0.25">
      <c r="A50" s="76"/>
      <c r="B50" s="75"/>
      <c r="C50" s="75"/>
    </row>
    <row r="51" spans="1:3" ht="15" x14ac:dyDescent="0.25">
      <c r="A51" s="76"/>
      <c r="B51" s="75"/>
      <c r="C51" s="75"/>
    </row>
    <row r="52" spans="1:3" ht="15" x14ac:dyDescent="0.25">
      <c r="A52" s="76"/>
      <c r="B52" s="75"/>
      <c r="C52" s="75"/>
    </row>
    <row r="53" spans="1:3" ht="15" x14ac:dyDescent="0.25">
      <c r="A53" s="76"/>
      <c r="B53" s="75"/>
      <c r="C53" s="75"/>
    </row>
    <row r="54" spans="1:3" ht="15" x14ac:dyDescent="0.25">
      <c r="A54" s="76"/>
      <c r="B54" s="75"/>
      <c r="C54" s="75"/>
    </row>
    <row r="55" spans="1:3" ht="15" x14ac:dyDescent="0.25">
      <c r="A55" s="76"/>
      <c r="B55" s="75"/>
      <c r="C55" s="75"/>
    </row>
    <row r="56" spans="1:3" ht="15" x14ac:dyDescent="0.25">
      <c r="A56" s="76"/>
    </row>
    <row r="62" spans="1:3" ht="15" x14ac:dyDescent="0.25">
      <c r="B62" s="74"/>
      <c r="C62" s="74"/>
    </row>
    <row r="63" spans="1:3" ht="15" x14ac:dyDescent="0.25">
      <c r="A63" s="74"/>
    </row>
    <row r="65" spans="1:3" ht="15" x14ac:dyDescent="0.25">
      <c r="B65" s="74"/>
      <c r="C65" s="74"/>
    </row>
    <row r="66" spans="1:3" ht="15" x14ac:dyDescent="0.25">
      <c r="A66" s="7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donnees</vt:lpstr>
      <vt:lpstr>ANALYSE STOCK BOUTEILLES</vt:lpstr>
      <vt:lpstr>ANALYSE STOCK VRAC</vt:lpstr>
      <vt:lpstr>Feuil1</vt:lpstr>
      <vt:lpstr>'ANALYSE STOCK BOUTEILLES'!Zone_d_impression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Stéphane</dc:creator>
  <cp:lastModifiedBy>Stephane STM. MIGNONAT</cp:lastModifiedBy>
  <cp:lastPrinted>2016-01-27T06:35:10Z</cp:lastPrinted>
  <dcterms:created xsi:type="dcterms:W3CDTF">2011-12-19T06:26:34Z</dcterms:created>
  <dcterms:modified xsi:type="dcterms:W3CDTF">2016-01-27T06:35:15Z</dcterms:modified>
</cp:coreProperties>
</file>